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5\EJECUCION PRESUPUESTAL 2026\EJECUCION ENERO-DICIEMBRE 2026 Y EL PORTAL\"/>
    </mc:Choice>
  </mc:AlternateContent>
  <bookViews>
    <workbookView xWindow="-120" yWindow="-120" windowWidth="24240" windowHeight="13140"/>
  </bookViews>
  <sheets>
    <sheet name="ABRIL 2026" sheetId="1" r:id="rId1"/>
  </sheets>
  <definedNames>
    <definedName name="_xlnm.Print_Area" localSheetId="0">'ABRIL 2026'!$A$3:$L$180</definedName>
    <definedName name="_xlnm.Print_Titles" localSheetId="0">'ABRIL 2026'!$3:$9</definedName>
  </definedNames>
  <calcPr calcId="162913"/>
</workbook>
</file>

<file path=xl/calcChain.xml><?xml version="1.0" encoding="utf-8"?>
<calcChain xmlns="http://schemas.openxmlformats.org/spreadsheetml/2006/main">
  <c r="M155" i="1" l="1"/>
  <c r="L155" i="1"/>
  <c r="L154" i="1"/>
  <c r="M154" i="1" s="1"/>
  <c r="M153" i="1"/>
  <c r="M152" i="1" s="1"/>
  <c r="L153" i="1"/>
  <c r="L152" i="1" s="1"/>
  <c r="K152" i="1"/>
  <c r="J152" i="1"/>
  <c r="I152" i="1"/>
  <c r="H152" i="1"/>
  <c r="G152" i="1"/>
  <c r="M151" i="1"/>
  <c r="H150" i="1"/>
  <c r="I150" i="1" s="1"/>
  <c r="M149" i="1"/>
  <c r="L149" i="1"/>
  <c r="G148" i="1"/>
  <c r="L147" i="1"/>
  <c r="M146" i="1"/>
  <c r="L146" i="1"/>
  <c r="L145" i="1"/>
  <c r="M145" i="1" s="1"/>
  <c r="M144" i="1"/>
  <c r="L144" i="1"/>
  <c r="L143" i="1"/>
  <c r="M143" i="1" s="1"/>
  <c r="M142" i="1"/>
  <c r="L142" i="1"/>
  <c r="L141" i="1"/>
  <c r="L140" i="1" s="1"/>
  <c r="H141" i="1"/>
  <c r="G141" i="1"/>
  <c r="M141" i="1" s="1"/>
  <c r="M140" i="1" s="1"/>
  <c r="K140" i="1"/>
  <c r="J140" i="1"/>
  <c r="I140" i="1"/>
  <c r="H140" i="1"/>
  <c r="H139" i="1" s="1"/>
  <c r="G140" i="1"/>
  <c r="G139" i="1"/>
  <c r="L138" i="1"/>
  <c r="L137" i="1"/>
  <c r="M137" i="1" s="1"/>
  <c r="K136" i="1"/>
  <c r="J136" i="1"/>
  <c r="I136" i="1"/>
  <c r="L136" i="1" s="1"/>
  <c r="M136" i="1" s="1"/>
  <c r="L135" i="1"/>
  <c r="K134" i="1"/>
  <c r="K131" i="1" s="1"/>
  <c r="J134" i="1"/>
  <c r="J131" i="1" s="1"/>
  <c r="I134" i="1"/>
  <c r="H134" i="1"/>
  <c r="L134" i="1" s="1"/>
  <c r="I133" i="1"/>
  <c r="H133" i="1"/>
  <c r="H131" i="1" s="1"/>
  <c r="L132" i="1"/>
  <c r="M132" i="1" s="1"/>
  <c r="I131" i="1"/>
  <c r="G131" i="1"/>
  <c r="L129" i="1"/>
  <c r="L128" i="1" s="1"/>
  <c r="L127" i="1" s="1"/>
  <c r="K128" i="1"/>
  <c r="J128" i="1"/>
  <c r="J127" i="1" s="1"/>
  <c r="I128" i="1"/>
  <c r="H128" i="1"/>
  <c r="G128" i="1"/>
  <c r="K127" i="1"/>
  <c r="I127" i="1"/>
  <c r="H127" i="1"/>
  <c r="G127" i="1"/>
  <c r="L125" i="1"/>
  <c r="M125" i="1" s="1"/>
  <c r="M124" i="1"/>
  <c r="L124" i="1"/>
  <c r="L123" i="1"/>
  <c r="M123" i="1" s="1"/>
  <c r="M122" i="1"/>
  <c r="L122" i="1"/>
  <c r="K121" i="1"/>
  <c r="J121" i="1"/>
  <c r="I121" i="1"/>
  <c r="H121" i="1"/>
  <c r="G121" i="1"/>
  <c r="L119" i="1"/>
  <c r="M119" i="1" s="1"/>
  <c r="M118" i="1" s="1"/>
  <c r="L118" i="1"/>
  <c r="K118" i="1"/>
  <c r="J118" i="1"/>
  <c r="I118" i="1"/>
  <c r="H118" i="1"/>
  <c r="G118" i="1"/>
  <c r="M117" i="1"/>
  <c r="M116" i="1"/>
  <c r="L116" i="1"/>
  <c r="L115" i="1"/>
  <c r="G115" i="1"/>
  <c r="M115" i="1" s="1"/>
  <c r="M114" i="1" s="1"/>
  <c r="I114" i="1"/>
  <c r="H114" i="1"/>
  <c r="G114" i="1"/>
  <c r="G113" i="1" s="1"/>
  <c r="K111" i="1"/>
  <c r="J111" i="1"/>
  <c r="J109" i="1" s="1"/>
  <c r="I111" i="1"/>
  <c r="I109" i="1" s="1"/>
  <c r="H111" i="1"/>
  <c r="L111" i="1" s="1"/>
  <c r="K109" i="1"/>
  <c r="H109" i="1"/>
  <c r="G109" i="1"/>
  <c r="K107" i="1"/>
  <c r="J107" i="1"/>
  <c r="I107" i="1"/>
  <c r="H107" i="1"/>
  <c r="L107" i="1" s="1"/>
  <c r="L106" i="1"/>
  <c r="M106" i="1" s="1"/>
  <c r="M105" i="1"/>
  <c r="L105" i="1"/>
  <c r="L104" i="1"/>
  <c r="M104" i="1" s="1"/>
  <c r="M103" i="1"/>
  <c r="L103" i="1"/>
  <c r="L102" i="1" s="1"/>
  <c r="K102" i="1"/>
  <c r="J102" i="1"/>
  <c r="I102" i="1"/>
  <c r="G102" i="1"/>
  <c r="G92" i="1" s="1"/>
  <c r="K100" i="1"/>
  <c r="L100" i="1" s="1"/>
  <c r="M100" i="1" s="1"/>
  <c r="M99" i="1"/>
  <c r="L99" i="1"/>
  <c r="I99" i="1"/>
  <c r="L98" i="1"/>
  <c r="M98" i="1" s="1"/>
  <c r="K98" i="1"/>
  <c r="K96" i="1" s="1"/>
  <c r="H98" i="1"/>
  <c r="K97" i="1"/>
  <c r="I97" i="1"/>
  <c r="H97" i="1"/>
  <c r="L97" i="1" s="1"/>
  <c r="J96" i="1"/>
  <c r="J92" i="1" s="1"/>
  <c r="I96" i="1"/>
  <c r="G96" i="1"/>
  <c r="M94" i="1"/>
  <c r="L94" i="1"/>
  <c r="L93" i="1"/>
  <c r="K93" i="1"/>
  <c r="I93" i="1"/>
  <c r="H93" i="1"/>
  <c r="I92" i="1"/>
  <c r="K90" i="1"/>
  <c r="K84" i="1" s="1"/>
  <c r="J90" i="1"/>
  <c r="I90" i="1"/>
  <c r="H90" i="1"/>
  <c r="H84" i="1" s="1"/>
  <c r="M89" i="1"/>
  <c r="L89" i="1"/>
  <c r="L88" i="1"/>
  <c r="M88" i="1" s="1"/>
  <c r="M87" i="1"/>
  <c r="L87" i="1"/>
  <c r="L86" i="1"/>
  <c r="J85" i="1"/>
  <c r="I85" i="1"/>
  <c r="G85" i="1"/>
  <c r="J84" i="1"/>
  <c r="I84" i="1"/>
  <c r="G84" i="1"/>
  <c r="M82" i="1"/>
  <c r="M80" i="1" s="1"/>
  <c r="L82" i="1"/>
  <c r="I82" i="1"/>
  <c r="M81" i="1"/>
  <c r="L81" i="1"/>
  <c r="I81" i="1"/>
  <c r="L80" i="1"/>
  <c r="K80" i="1"/>
  <c r="J80" i="1"/>
  <c r="I80" i="1"/>
  <c r="H80" i="1"/>
  <c r="G80" i="1"/>
  <c r="L78" i="1"/>
  <c r="M78" i="1" s="1"/>
  <c r="M77" i="1"/>
  <c r="L77" i="1"/>
  <c r="L76" i="1"/>
  <c r="M76" i="1" s="1"/>
  <c r="M75" i="1" s="1"/>
  <c r="M72" i="1" s="1"/>
  <c r="L75" i="1"/>
  <c r="K75" i="1"/>
  <c r="J75" i="1"/>
  <c r="I75" i="1"/>
  <c r="I72" i="1" s="1"/>
  <c r="H75" i="1"/>
  <c r="H72" i="1" s="1"/>
  <c r="G75" i="1"/>
  <c r="K73" i="1"/>
  <c r="K72" i="1" s="1"/>
  <c r="J73" i="1"/>
  <c r="I73" i="1"/>
  <c r="H73" i="1"/>
  <c r="L73" i="1" s="1"/>
  <c r="M73" i="1" s="1"/>
  <c r="J72" i="1"/>
  <c r="G72" i="1"/>
  <c r="M70" i="1"/>
  <c r="L70" i="1"/>
  <c r="K69" i="1"/>
  <c r="J69" i="1"/>
  <c r="I69" i="1"/>
  <c r="H69" i="1"/>
  <c r="H68" i="1" s="1"/>
  <c r="J68" i="1"/>
  <c r="I68" i="1"/>
  <c r="G68" i="1"/>
  <c r="M66" i="1"/>
  <c r="L66" i="1"/>
  <c r="J65" i="1"/>
  <c r="J64" i="1" s="1"/>
  <c r="H65" i="1"/>
  <c r="L65" i="1" s="1"/>
  <c r="K64" i="1"/>
  <c r="I64" i="1"/>
  <c r="G64" i="1"/>
  <c r="M62" i="1"/>
  <c r="L62" i="1"/>
  <c r="I62" i="1"/>
  <c r="M61" i="1"/>
  <c r="M60" i="1" s="1"/>
  <c r="L61" i="1"/>
  <c r="H61" i="1"/>
  <c r="L60" i="1"/>
  <c r="K60" i="1"/>
  <c r="J60" i="1"/>
  <c r="I60" i="1"/>
  <c r="H60" i="1"/>
  <c r="G60" i="1"/>
  <c r="G51" i="1" s="1"/>
  <c r="M58" i="1"/>
  <c r="L58" i="1"/>
  <c r="M57" i="1"/>
  <c r="L57" i="1"/>
  <c r="K57" i="1"/>
  <c r="J57" i="1"/>
  <c r="I57" i="1"/>
  <c r="I52" i="1" s="1"/>
  <c r="H57" i="1"/>
  <c r="G57" i="1"/>
  <c r="K55" i="1"/>
  <c r="J55" i="1"/>
  <c r="I55" i="1"/>
  <c r="H55" i="1"/>
  <c r="L55" i="1" s="1"/>
  <c r="M55" i="1" s="1"/>
  <c r="M54" i="1"/>
  <c r="L54" i="1"/>
  <c r="K53" i="1"/>
  <c r="K52" i="1" s="1"/>
  <c r="J53" i="1"/>
  <c r="I53" i="1"/>
  <c r="H53" i="1"/>
  <c r="L53" i="1" s="1"/>
  <c r="J52" i="1"/>
  <c r="J51" i="1" s="1"/>
  <c r="G52" i="1"/>
  <c r="L49" i="1"/>
  <c r="M49" i="1" s="1"/>
  <c r="M48" i="1"/>
  <c r="L48" i="1"/>
  <c r="L47" i="1"/>
  <c r="L46" i="1" s="1"/>
  <c r="K46" i="1"/>
  <c r="J46" i="1"/>
  <c r="I46" i="1"/>
  <c r="H46" i="1"/>
  <c r="G46" i="1"/>
  <c r="I44" i="1"/>
  <c r="J44" i="1" s="1"/>
  <c r="K44" i="1" s="1"/>
  <c r="H44" i="1"/>
  <c r="L44" i="1" s="1"/>
  <c r="M44" i="1" s="1"/>
  <c r="H43" i="1"/>
  <c r="I43" i="1" s="1"/>
  <c r="H42" i="1"/>
  <c r="G42" i="1"/>
  <c r="L40" i="1"/>
  <c r="K39" i="1"/>
  <c r="J39" i="1"/>
  <c r="L39" i="1" s="1"/>
  <c r="M38" i="1"/>
  <c r="L38" i="1"/>
  <c r="K37" i="1"/>
  <c r="I37" i="1"/>
  <c r="H37" i="1"/>
  <c r="H31" i="1" s="1"/>
  <c r="H30" i="1" s="1"/>
  <c r="G37" i="1"/>
  <c r="M35" i="1"/>
  <c r="L35" i="1"/>
  <c r="M34" i="1"/>
  <c r="L34" i="1"/>
  <c r="M33" i="1"/>
  <c r="L33" i="1"/>
  <c r="M32" i="1"/>
  <c r="L32" i="1"/>
  <c r="K31" i="1"/>
  <c r="K30" i="1" s="1"/>
  <c r="I31" i="1"/>
  <c r="G31" i="1"/>
  <c r="G30" i="1" s="1"/>
  <c r="I30" i="1"/>
  <c r="L28" i="1"/>
  <c r="M27" i="1"/>
  <c r="L27" i="1"/>
  <c r="L26" i="1"/>
  <c r="M26" i="1" s="1"/>
  <c r="M25" i="1"/>
  <c r="L25" i="1"/>
  <c r="L24" i="1"/>
  <c r="K24" i="1"/>
  <c r="J24" i="1"/>
  <c r="I24" i="1"/>
  <c r="H24" i="1"/>
  <c r="G24" i="1"/>
  <c r="L22" i="1"/>
  <c r="M22" i="1" s="1"/>
  <c r="M21" i="1" s="1"/>
  <c r="L21" i="1"/>
  <c r="K21" i="1"/>
  <c r="J21" i="1"/>
  <c r="I21" i="1"/>
  <c r="H21" i="1"/>
  <c r="G21" i="1"/>
  <c r="L19" i="1"/>
  <c r="M19" i="1" s="1"/>
  <c r="L18" i="1"/>
  <c r="L17" i="1"/>
  <c r="M17" i="1" s="1"/>
  <c r="L16" i="1"/>
  <c r="K16" i="1"/>
  <c r="J16" i="1"/>
  <c r="I16" i="1"/>
  <c r="H16" i="1"/>
  <c r="G16" i="1"/>
  <c r="K14" i="1"/>
  <c r="J14" i="1"/>
  <c r="I14" i="1"/>
  <c r="I13" i="1" s="1"/>
  <c r="I12" i="1" s="1"/>
  <c r="I11" i="1" s="1"/>
  <c r="H14" i="1"/>
  <c r="L14" i="1" s="1"/>
  <c r="G14" i="1"/>
  <c r="K13" i="1"/>
  <c r="J13" i="1"/>
  <c r="H13" i="1"/>
  <c r="H12" i="1" s="1"/>
  <c r="G13" i="1"/>
  <c r="K12" i="1"/>
  <c r="K11" i="1" s="1"/>
  <c r="J12" i="1"/>
  <c r="G12" i="1"/>
  <c r="I113" i="1" l="1"/>
  <c r="J150" i="1"/>
  <c r="I148" i="1"/>
  <c r="I139" i="1" s="1"/>
  <c r="I51" i="1"/>
  <c r="M16" i="1"/>
  <c r="M39" i="1"/>
  <c r="M37" i="1" s="1"/>
  <c r="M31" i="1" s="1"/>
  <c r="M30" i="1" s="1"/>
  <c r="L37" i="1"/>
  <c r="L31" i="1" s="1"/>
  <c r="L30" i="1" s="1"/>
  <c r="L96" i="1"/>
  <c r="L92" i="1" s="1"/>
  <c r="M97" i="1"/>
  <c r="M96" i="1" s="1"/>
  <c r="M111" i="1"/>
  <c r="M109" i="1" s="1"/>
  <c r="L109" i="1"/>
  <c r="G157" i="1"/>
  <c r="M134" i="1"/>
  <c r="L52" i="1"/>
  <c r="M53" i="1"/>
  <c r="M52" i="1" s="1"/>
  <c r="G11" i="1"/>
  <c r="H11" i="1"/>
  <c r="M14" i="1"/>
  <c r="M13" i="1" s="1"/>
  <c r="L13" i="1"/>
  <c r="L12" i="1" s="1"/>
  <c r="M24" i="1"/>
  <c r="J43" i="1"/>
  <c r="I42" i="1"/>
  <c r="M65" i="1"/>
  <c r="M64" i="1" s="1"/>
  <c r="L64" i="1"/>
  <c r="L72" i="1"/>
  <c r="M107" i="1"/>
  <c r="M102" i="1" s="1"/>
  <c r="H113" i="1"/>
  <c r="M121" i="1"/>
  <c r="L121" i="1"/>
  <c r="M47" i="1"/>
  <c r="M46" i="1" s="1"/>
  <c r="H64" i="1"/>
  <c r="K68" i="1"/>
  <c r="K51" i="1" s="1"/>
  <c r="K85" i="1"/>
  <c r="M86" i="1"/>
  <c r="M93" i="1"/>
  <c r="H102" i="1"/>
  <c r="M129" i="1"/>
  <c r="M128" i="1" s="1"/>
  <c r="M127" i="1" s="1"/>
  <c r="M135" i="1"/>
  <c r="L69" i="1"/>
  <c r="L90" i="1"/>
  <c r="M90" i="1" s="1"/>
  <c r="J37" i="1"/>
  <c r="J31" i="1" s="1"/>
  <c r="J30" i="1" s="1"/>
  <c r="J11" i="1" s="1"/>
  <c r="H52" i="1"/>
  <c r="H85" i="1"/>
  <c r="L85" i="1"/>
  <c r="K92" i="1"/>
  <c r="H96" i="1"/>
  <c r="H92" i="1" s="1"/>
  <c r="L133" i="1"/>
  <c r="M92" i="1" l="1"/>
  <c r="L11" i="1"/>
  <c r="H51" i="1"/>
  <c r="H157" i="1" s="1"/>
  <c r="K43" i="1"/>
  <c r="K42" i="1" s="1"/>
  <c r="J42" i="1"/>
  <c r="M85" i="1"/>
  <c r="M84" i="1"/>
  <c r="M51" i="1" s="1"/>
  <c r="I157" i="1"/>
  <c r="L43" i="1"/>
  <c r="M133" i="1"/>
  <c r="M131" i="1" s="1"/>
  <c r="L131" i="1"/>
  <c r="L68" i="1"/>
  <c r="L51" i="1" s="1"/>
  <c r="M69" i="1"/>
  <c r="M68" i="1" s="1"/>
  <c r="M12" i="1"/>
  <c r="L84" i="1"/>
  <c r="J148" i="1"/>
  <c r="J139" i="1" s="1"/>
  <c r="J113" i="1" s="1"/>
  <c r="J157" i="1" s="1"/>
  <c r="K150" i="1"/>
  <c r="L42" i="1" l="1"/>
  <c r="M43" i="1"/>
  <c r="M42" i="1" s="1"/>
  <c r="M41" i="1" s="1"/>
  <c r="M11" i="1"/>
  <c r="K148" i="1"/>
  <c r="K139" i="1" s="1"/>
  <c r="K113" i="1" s="1"/>
  <c r="K157" i="1" s="1"/>
  <c r="L150" i="1"/>
  <c r="M150" i="1" l="1"/>
  <c r="M148" i="1" s="1"/>
  <c r="M139" i="1" s="1"/>
  <c r="M113" i="1" s="1"/>
  <c r="M157" i="1" s="1"/>
  <c r="L148" i="1"/>
  <c r="L139" i="1" s="1"/>
  <c r="L113" i="1" s="1"/>
  <c r="L157" i="1" s="1"/>
</calcChain>
</file>

<file path=xl/sharedStrings.xml><?xml version="1.0" encoding="utf-8"?>
<sst xmlns="http://schemas.openxmlformats.org/spreadsheetml/2006/main" count="154" uniqueCount="141">
  <si>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</si>
  <si>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</si>
  <si>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</si>
  <si>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</si>
  <si>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</si>
  <si>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</si>
  <si>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</si>
  <si>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</si>
  <si>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</si>
  <si>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</si>
  <si>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</si>
  <si>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</si>
  <si>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</si>
  <si>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</si>
  <si>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</si>
  <si>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</si>
  <si>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</si>
  <si>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</si>
  <si>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</si>
  <si>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</si>
  <si>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</si>
  <si>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</si>
  <si>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</si>
  <si>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</si>
  <si>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</si>
  <si>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</si>
  <si>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</si>
  <si>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</si>
  <si>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</si>
  <si>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</si>
  <si>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</si>
  <si>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</si>
  <si>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</si>
  <si>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</si>
  <si>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</si>
  <si>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</si>
  <si>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</si>
  <si>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</si>
  <si>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</si>
  <si>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</si>
  <si>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</si>
  <si>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</si>
  <si>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</si>
  <si>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</si>
  <si>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</si>
  <si>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</si>
  <si>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</si>
  <si>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</si>
  <si>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</si>
  <si>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</si>
  <si>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</si>
  <si>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</si>
  <si>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</si>
  <si>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</si>
  <si>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</si>
  <si>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</si>
  <si>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</si>
  <si>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</si>
  <si>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</si>
  <si>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</si>
  <si>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</si>
  <si>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</si>
  <si>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</si>
  <si>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</si>
  <si>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</si>
  <si>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</si>
  <si>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</si>
  <si>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</si>
  <si>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</si>
  <si>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</si>
  <si>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</si>
  <si>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</si>
  <si>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</si>
  <si>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</si>
  <si>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</si>
  <si>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</si>
  <si>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</si>
  <si>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</si>
  <si>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</si>
  <si>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</si>
  <si>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</si>
  <si>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</si>
  <si>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</si>
  <si>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</si>
  <si>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</si>
  <si>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</si>
  <si>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</si>
  <si>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</si>
  <si>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</si>
  <si>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</si>
  <si>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</si>
  <si>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</si>
  <si>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</si>
  <si>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</si>
  <si>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</si>
  <si>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</si>
  <si>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</si>
  <si>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</si>
  <si>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</si>
  <si>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</si>
  <si>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</si>
  <si>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</si>
  <si>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</si>
  <si>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</si>
  <si>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</si>
  <si>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</si>
  <si>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</si>
  <si>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</si>
  <si>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</si>
  <si>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</si>
  <si>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</si>
  <si>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</si>
  <si>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</si>
  <si>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</si>
  <si>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</si>
  <si>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</si>
  <si>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</si>
  <si>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</si>
  <si>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</si>
  <si>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</si>
  <si>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</si>
  <si>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</si>
  <si>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</si>
  <si>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</si>
  <si>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</si>
  <si>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</si>
  <si>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</si>
  <si>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</si>
  <si>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</si>
  <si>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</si>
  <si>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</si>
  <si>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</si>
  <si>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>Ejecut. Febrero,  2026</t>
  </si>
  <si>
    <t>TOTAL</t>
  </si>
  <si>
    <t>Ejecut. Marzo,  2026</t>
  </si>
  <si>
    <t xml:space="preserve">  </t>
  </si>
  <si>
    <t xml:space="preserve">                                                           Consejo Económico -(CES)-</t>
  </si>
  <si>
    <t xml:space="preserve">                                                        Ejecucion Presupuestal al 30 de Abril 2026</t>
  </si>
  <si>
    <t xml:space="preserve">                                                   (Valores en RD$)</t>
  </si>
  <si>
    <t>Ejecut. Abril,  2026</t>
  </si>
  <si>
    <t>Renovación de Pleno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</si>
</sst>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1" fontId="3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" fontId="6" fillId="2" borderId="0" xfId="0" applyNumberFormat="1" applyFont="1" applyFill="1"/>
    <xf numFmtId="0" fontId="8" fillId="0" borderId="0" xfId="0" applyFont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1" fontId="9" fillId="2" borderId="4" xfId="0" applyNumberFormat="1" applyFont="1" applyFill="1" applyBorder="1"/>
    <xf numFmtId="0" fontId="9" fillId="0" borderId="5" xfId="0" applyFont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10" fillId="0" borderId="5" xfId="0" applyFont="1" applyBorder="1"/>
    <xf numFmtId="0" fontId="9" fillId="0" borderId="6" xfId="0" applyFont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1" fontId="9" fillId="0" borderId="6" xfId="0" applyNumberFormat="1" applyFont="1" applyBorder="1"/>
    <xf numFmtId="164" fontId="9" fillId="2" borderId="7" xfId="1" applyNumberFormat="1" applyFont="1" applyFill="1" applyBorder="1"/>
    <xf numFmtId="41" fontId="11" fillId="0" borderId="5" xfId="0" applyNumberFormat="1" applyFont="1" applyBorder="1"/>
    <xf numFmtId="164" fontId="11" fillId="2" borderId="5" xfId="1" applyNumberFormat="1" applyFont="1" applyFill="1" applyBorder="1"/>
    <xf numFmtId="41" fontId="9" fillId="0" borderId="9" xfId="0" applyNumberFormat="1" applyFont="1" applyBorder="1"/>
    <xf numFmtId="164" fontId="9" fillId="2" borderId="9" xfId="1" applyNumberFormat="1" applyFont="1" applyFill="1" applyBorder="1"/>
    <xf numFmtId="164" fontId="8" fillId="2" borderId="7" xfId="1" applyNumberFormat="1" applyFont="1" applyFill="1" applyBorder="1"/>
    <xf numFmtId="164" fontId="9" fillId="2" borderId="6" xfId="1" applyNumberFormat="1" applyFont="1" applyFill="1" applyBorder="1"/>
    <xf numFmtId="41" fontId="11" fillId="0" borderId="9" xfId="0" applyNumberFormat="1" applyFont="1" applyBorder="1"/>
    <xf numFmtId="41" fontId="11" fillId="0" borderId="7" xfId="0" applyNumberFormat="1" applyFont="1" applyBorder="1"/>
    <xf numFmtId="164" fontId="11" fillId="2" borderId="9" xfId="1" applyNumberFormat="1" applyFont="1" applyFill="1" applyBorder="1"/>
    <xf numFmtId="164" fontId="11" fillId="2" borderId="7" xfId="1" applyNumberFormat="1" applyFont="1" applyFill="1" applyBorder="1"/>
    <xf numFmtId="41" fontId="11" fillId="0" borderId="6" xfId="0" applyNumberFormat="1" applyFont="1" applyBorder="1"/>
    <xf numFmtId="41" fontId="9" fillId="0" borderId="5" xfId="0" applyNumberFormat="1" applyFont="1" applyBorder="1"/>
    <xf numFmtId="164" fontId="9" fillId="2" borderId="5" xfId="1" applyNumberFormat="1" applyFont="1" applyFill="1" applyBorder="1"/>
    <xf numFmtId="0" fontId="10" fillId="0" borderId="7" xfId="0" applyFont="1" applyBorder="1" applyAlignment="1">
      <alignment horizontal="center"/>
    </xf>
    <xf numFmtId="164" fontId="11" fillId="2" borderId="6" xfId="1" applyNumberFormat="1" applyFont="1" applyFill="1" applyBorder="1"/>
    <xf numFmtId="164" fontId="9" fillId="2" borderId="12" xfId="1" applyNumberFormat="1" applyFont="1" applyFill="1" applyBorder="1"/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1" fontId="11" fillId="2" borderId="6" xfId="0" applyNumberFormat="1" applyFont="1" applyFill="1" applyBorder="1"/>
    <xf numFmtId="41" fontId="11" fillId="2" borderId="7" xfId="0" applyNumberFormat="1" applyFont="1" applyFill="1" applyBorder="1"/>
    <xf numFmtId="41" fontId="9" fillId="0" borderId="7" xfId="0" applyNumberFormat="1" applyFont="1" applyBorder="1"/>
    <xf numFmtId="41" fontId="9" fillId="0" borderId="12" xfId="0" applyNumberFormat="1" applyFont="1" applyBorder="1"/>
    <xf numFmtId="164" fontId="8" fillId="2" borderId="5" xfId="1" applyNumberFormat="1" applyFont="1" applyFill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12" fillId="0" borderId="0" xfId="0" applyFont="1" applyAlignment="1">
      <alignment horizontal="center"/>
    </xf>
    <xf numFmtId="41" fontId="8" fillId="0" borderId="0" xfId="0" applyNumberFormat="1" applyFont="1" applyAlignment="1">
      <alignment horizontal="center"/>
    </xf>
    <xf numFmtId="43" fontId="8" fillId="2" borderId="0" xfId="1" applyFont="1" applyFill="1" applyBorder="1" applyAlignment="1">
      <alignment horizontal="center"/>
    </xf>
    <xf numFmtId="41" fontId="6" fillId="0" borderId="0" xfId="0" applyNumberFormat="1" applyFont="1" applyAlignment="1">
      <alignment horizontal="center"/>
    </xf>
    <xf numFmtId="0" fontId="12" fillId="0" borderId="14" xfId="0" applyFont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1" fontId="14" fillId="0" borderId="0" xfId="0" applyNumberFormat="1" applyFont="1" applyAlignment="1">
      <alignment horizontal="center"/>
    </xf>
    <xf numFmtId="0" fontId="12" fillId="0" borderId="13" xfId="0" applyFont="1" applyBorder="1" applyAlignment="1">
      <alignment horizontal="center"/>
    </xf>
    <xf numFmtId="43" fontId="12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43" fontId="6" fillId="2" borderId="0" xfId="1" applyFont="1" applyFill="1"/>
    <xf numFmtId="41" fontId="9" fillId="2" borderId="6" xfId="0" applyNumberFormat="1" applyFont="1" applyFill="1" applyBorder="1"/>
    <xf numFmtId="41" fontId="9" fillId="2" borderId="5" xfId="0" applyNumberFormat="1" applyFont="1" applyFill="1" applyBorder="1"/>
    <xf numFmtId="41" fontId="9" fillId="2" borderId="7" xfId="0" applyNumberFormat="1" applyFont="1" applyFill="1" applyBorder="1"/>
    <xf numFmtId="41" fontId="9" fillId="2" borderId="9" xfId="0" applyNumberFormat="1" applyFont="1" applyFill="1" applyBorder="1"/>
    <xf numFmtId="41" fontId="11" fillId="2" borderId="5" xfId="0" applyNumberFormat="1" applyFont="1" applyFill="1" applyBorder="1"/>
    <xf numFmtId="164" fontId="9" fillId="2" borderId="15" xfId="1" applyNumberFormat="1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41" fontId="9" fillId="0" borderId="0" xfId="0" applyNumberFormat="1" applyFont="1" applyBorder="1"/>
    <xf numFmtId="41" fontId="8" fillId="2" borderId="7" xfId="0" applyNumberFormat="1" applyFont="1" applyFill="1" applyBorder="1"/>
    <xf numFmtId="41" fontId="11" fillId="2" borderId="9" xfId="0" applyNumberFormat="1" applyFont="1" applyFill="1" applyBorder="1"/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1" fontId="9" fillId="2" borderId="15" xfId="0" applyNumberFormat="1" applyFont="1" applyFill="1" applyBorder="1"/>
    <xf numFmtId="1" fontId="9" fillId="2" borderId="3" xfId="0" applyNumberFormat="1" applyFont="1" applyFill="1" applyBorder="1" applyAlignment="1">
      <alignment horizontal="center" wrapText="1"/>
    </xf>
    <xf numFmtId="43" fontId="8" fillId="2" borderId="7" xfId="1" applyFont="1" applyFill="1" applyBorder="1"/>
    <xf numFmtId="164" fontId="8" fillId="2" borderId="8" xfId="1" applyNumberFormat="1" applyFont="1" applyFill="1" applyBorder="1"/>
    <xf numFmtId="43" fontId="11" fillId="2" borderId="8" xfId="1" applyNumberFormat="1" applyFont="1" applyFill="1" applyBorder="1"/>
    <xf numFmtId="164" fontId="11" fillId="2" borderId="8" xfId="1" applyNumberFormat="1" applyFont="1" applyFill="1" applyBorder="1"/>
    <xf numFmtId="43" fontId="11" fillId="2" borderId="9" xfId="1" applyFont="1" applyFill="1" applyBorder="1"/>
    <xf numFmtId="43" fontId="11" fillId="2" borderId="10" xfId="1" applyNumberFormat="1" applyFont="1" applyFill="1" applyBorder="1"/>
    <xf numFmtId="43" fontId="11" fillId="2" borderId="7" xfId="1" applyFont="1" applyFill="1" applyBorder="1"/>
    <xf numFmtId="43" fontId="9" fillId="2" borderId="7" xfId="1" applyFont="1" applyFill="1" applyBorder="1"/>
    <xf numFmtId="164" fontId="9" fillId="2" borderId="8" xfId="1" applyNumberFormat="1" applyFont="1" applyFill="1" applyBorder="1"/>
    <xf numFmtId="43" fontId="2" fillId="0" borderId="0" xfId="1" applyFont="1"/>
    <xf numFmtId="164" fontId="11" fillId="2" borderId="10" xfId="1" applyNumberFormat="1" applyFont="1" applyFill="1" applyBorder="1"/>
    <xf numFmtId="164" fontId="9" fillId="2" borderId="11" xfId="1" applyNumberFormat="1" applyFont="1" applyFill="1" applyBorder="1"/>
    <xf numFmtId="43" fontId="9" fillId="2" borderId="9" xfId="1" applyFont="1" applyFill="1" applyBorder="1"/>
    <xf numFmtId="43" fontId="0" fillId="2" borderId="0" xfId="1" applyFont="1" applyFill="1"/>
    <xf numFmtId="43" fontId="11" fillId="2" borderId="6" xfId="1" applyFont="1" applyFill="1" applyBorder="1"/>
    <xf numFmtId="43" fontId="8" fillId="2" borderId="5" xfId="1" applyFont="1" applyFill="1" applyBorder="1"/>
    <xf numFmtId="43" fontId="9" fillId="2" borderId="5" xfId="1" applyFont="1" applyFill="1" applyBorder="1"/>
    <xf numFmtId="43" fontId="9" fillId="2" borderId="6" xfId="1" applyFont="1" applyFill="1" applyBorder="1"/>
    <xf numFmtId="43" fontId="4" fillId="0" borderId="0" xfId="1" applyFont="1"/>
    <xf numFmtId="43" fontId="5" fillId="0" borderId="0" xfId="1" applyFont="1"/>
    <xf numFmtId="43" fontId="9" fillId="0" borderId="6" xfId="1" applyFont="1" applyBorder="1"/>
    <xf numFmtId="43" fontId="9" fillId="2" borderId="12" xfId="1" applyFont="1" applyFill="1" applyBorder="1"/>
    <xf numFmtId="41" fontId="0" fillId="0" borderId="0" xfId="0" applyNumberFormat="1"/>
    <xf numFmtId="43" fontId="0" fillId="0" borderId="0" xfId="0" applyNumberFormat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" fontId="9" fillId="2" borderId="3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41" fontId="9" fillId="0" borderId="11" xfId="0" applyNumberFormat="1" applyFont="1" applyBorder="1"/>
    <xf numFmtId="164" fontId="11" fillId="2" borderId="3" xfId="1" applyNumberFormat="1" applyFont="1" applyFill="1" applyBorder="1"/>
    <xf numFmtId="164" fontId="9" fillId="2" borderId="10" xfId="1" applyNumberFormat="1" applyFont="1" applyFill="1" applyBorder="1"/>
    <xf numFmtId="41" fontId="11" fillId="0" borderId="11" xfId="0" applyNumberFormat="1" applyFont="1" applyBorder="1"/>
    <xf numFmtId="164" fontId="9" fillId="2" borderId="16" xfId="1" applyNumberFormat="1" applyFont="1" applyFill="1" applyBorder="1"/>
    <xf numFmtId="41" fontId="9" fillId="0" borderId="3" xfId="0" applyNumberFormat="1" applyFont="1" applyBorder="1"/>
    <xf numFmtId="164" fontId="11" fillId="2" borderId="11" xfId="1" applyNumberFormat="1" applyFont="1" applyFill="1" applyBorder="1"/>
    <xf numFmtId="164" fontId="9" fillId="2" borderId="3" xfId="1" applyNumberFormat="1" applyFont="1" applyFill="1" applyBorder="1"/>
    <xf numFmtId="0" fontId="8" fillId="2" borderId="0" xfId="0" applyFont="1" applyFill="1" applyBorder="1" applyAlignment="1">
      <alignment wrapText="1"/>
    </xf>
    <xf numFmtId="41" fontId="11" fillId="2" borderId="11" xfId="0" applyNumberFormat="1" applyFont="1" applyFill="1" applyBorder="1"/>
    <xf numFmtId="41" fontId="9" fillId="2" borderId="3" xfId="0" applyNumberFormat="1" applyFont="1" applyFill="1" applyBorder="1"/>
    <xf numFmtId="0" fontId="11" fillId="2" borderId="0" xfId="0" applyFont="1" applyFill="1" applyBorder="1" applyAlignment="1">
      <alignment wrapText="1"/>
    </xf>
    <xf numFmtId="41" fontId="11" fillId="2" borderId="8" xfId="0" applyNumberFormat="1" applyFont="1" applyFill="1" applyBorder="1"/>
    <xf numFmtId="164" fontId="9" fillId="2" borderId="17" xfId="1" applyNumberFormat="1" applyFont="1" applyFill="1" applyBorder="1"/>
    <xf numFmtId="41" fontId="9" fillId="2" borderId="10" xfId="0" applyNumberFormat="1" applyFont="1" applyFill="1" applyBorder="1"/>
    <xf numFmtId="164" fontId="8" fillId="2" borderId="3" xfId="1" applyNumberFormat="1" applyFont="1" applyFill="1" applyBorder="1"/>
    <xf numFmtId="41" fontId="9" fillId="2" borderId="11" xfId="0" applyNumberFormat="1" applyFont="1" applyFill="1" applyBorder="1"/>
    <xf numFmtId="41" fontId="9" fillId="0" borderId="17" xfId="0" applyNumberFormat="1" applyFont="1" applyBorder="1"/>
    <xf numFmtId="41" fontId="11" fillId="2" borderId="3" xfId="0" applyNumberFormat="1" applyFont="1" applyFill="1" applyBorder="1"/>
    <xf numFmtId="0" fontId="11" fillId="0" borderId="0" xfId="0" applyFont="1" applyBorder="1"/>
    <xf numFmtId="0" fontId="9" fillId="0" borderId="13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"/>
  <sheetViews>
    <sheetView tabSelected="1" topLeftCell="A160" workbookViewId="0">
      <selection activeCell="I161" sqref="I161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25.7109375" customWidth="1"/>
    <col min="7" max="7" width="17" customWidth="1"/>
    <col min="8" max="8" width="21.5703125" style="5" customWidth="1"/>
    <col min="9" max="9" width="17.5703125" customWidth="1"/>
    <col min="10" max="10" width="15.42578125" customWidth="1"/>
    <col min="11" max="11" width="16.7109375" customWidth="1"/>
    <col min="12" max="12" width="16.42578125" customWidth="1"/>
    <col min="13" max="13" width="0.28515625" hidden="1" customWidth="1"/>
    <col min="14" max="14" width="28.140625" customWidth="1"/>
    <col min="215" max="215" width="4.85546875" bestFit="1" customWidth="1"/>
    <col min="216" max="216" width="5.85546875" bestFit="1" customWidth="1"/>
    <col min="217" max="217" width="7.42578125" bestFit="1" customWidth="1"/>
    <col min="218" max="218" width="8.140625" bestFit="1" customWidth="1"/>
    <col min="219" max="219" width="4.5703125" bestFit="1" customWidth="1"/>
    <col min="220" max="220" width="57.5703125" customWidth="1"/>
    <col min="221" max="221" width="14.28515625" customWidth="1"/>
    <col min="222" max="222" width="0.85546875" customWidth="1"/>
    <col min="223" max="223" width="16.5703125" bestFit="1" customWidth="1"/>
    <col min="224" max="224" width="13.42578125" bestFit="1" customWidth="1"/>
    <col min="471" max="471" width="4.85546875" bestFit="1" customWidth="1"/>
    <col min="472" max="472" width="5.85546875" bestFit="1" customWidth="1"/>
    <col min="473" max="473" width="7.42578125" bestFit="1" customWidth="1"/>
    <col min="474" max="474" width="8.140625" bestFit="1" customWidth="1"/>
    <col min="475" max="475" width="4.5703125" bestFit="1" customWidth="1"/>
    <col min="476" max="476" width="57.5703125" customWidth="1"/>
    <col min="477" max="477" width="14.28515625" customWidth="1"/>
    <col min="478" max="478" width="0.85546875" customWidth="1"/>
    <col min="479" max="479" width="16.5703125" bestFit="1" customWidth="1"/>
    <col min="480" max="480" width="13.42578125" bestFit="1" customWidth="1"/>
    <col min="727" max="727" width="4.85546875" bestFit="1" customWidth="1"/>
    <col min="728" max="728" width="5.85546875" bestFit="1" customWidth="1"/>
    <col min="729" max="729" width="7.42578125" bestFit="1" customWidth="1"/>
    <col min="730" max="730" width="8.140625" bestFit="1" customWidth="1"/>
    <col min="731" max="731" width="4.5703125" bestFit="1" customWidth="1"/>
    <col min="732" max="732" width="57.5703125" customWidth="1"/>
    <col min="733" max="733" width="14.28515625" customWidth="1"/>
    <col min="734" max="734" width="0.85546875" customWidth="1"/>
    <col min="735" max="735" width="16.5703125" bestFit="1" customWidth="1"/>
    <col min="736" max="736" width="13.42578125" bestFit="1" customWidth="1"/>
    <col min="983" max="983" width="4.85546875" bestFit="1" customWidth="1"/>
    <col min="984" max="984" width="5.85546875" bestFit="1" customWidth="1"/>
    <col min="985" max="985" width="7.42578125" bestFit="1" customWidth="1"/>
    <col min="986" max="986" width="8.140625" bestFit="1" customWidth="1"/>
    <col min="987" max="987" width="4.5703125" bestFit="1" customWidth="1"/>
    <col min="988" max="988" width="57.5703125" customWidth="1"/>
    <col min="989" max="989" width="14.28515625" customWidth="1"/>
    <col min="990" max="990" width="0.85546875" customWidth="1"/>
    <col min="991" max="991" width="16.5703125" bestFit="1" customWidth="1"/>
    <col min="992" max="992" width="13.42578125" bestFit="1" customWidth="1"/>
    <col min="1239" max="1239" width="4.85546875" bestFit="1" customWidth="1"/>
    <col min="1240" max="1240" width="5.85546875" bestFit="1" customWidth="1"/>
    <col min="1241" max="1241" width="7.42578125" bestFit="1" customWidth="1"/>
    <col min="1242" max="1242" width="8.140625" bestFit="1" customWidth="1"/>
    <col min="1243" max="1243" width="4.5703125" bestFit="1" customWidth="1"/>
    <col min="1244" max="1244" width="57.5703125" customWidth="1"/>
    <col min="1245" max="1245" width="14.28515625" customWidth="1"/>
    <col min="1246" max="1246" width="0.85546875" customWidth="1"/>
    <col min="1247" max="1247" width="16.5703125" bestFit="1" customWidth="1"/>
    <col min="1248" max="1248" width="13.42578125" bestFit="1" customWidth="1"/>
    <col min="1495" max="1495" width="4.85546875" bestFit="1" customWidth="1"/>
    <col min="1496" max="1496" width="5.85546875" bestFit="1" customWidth="1"/>
    <col min="1497" max="1497" width="7.42578125" bestFit="1" customWidth="1"/>
    <col min="1498" max="1498" width="8.140625" bestFit="1" customWidth="1"/>
    <col min="1499" max="1499" width="4.5703125" bestFit="1" customWidth="1"/>
    <col min="1500" max="1500" width="57.5703125" customWidth="1"/>
    <col min="1501" max="1501" width="14.28515625" customWidth="1"/>
    <col min="1502" max="1502" width="0.85546875" customWidth="1"/>
    <col min="1503" max="1503" width="16.5703125" bestFit="1" customWidth="1"/>
    <col min="1504" max="1504" width="13.42578125" bestFit="1" customWidth="1"/>
    <col min="1751" max="1751" width="4.85546875" bestFit="1" customWidth="1"/>
    <col min="1752" max="1752" width="5.85546875" bestFit="1" customWidth="1"/>
    <col min="1753" max="1753" width="7.42578125" bestFit="1" customWidth="1"/>
    <col min="1754" max="1754" width="8.140625" bestFit="1" customWidth="1"/>
    <col min="1755" max="1755" width="4.5703125" bestFit="1" customWidth="1"/>
    <col min="1756" max="1756" width="57.5703125" customWidth="1"/>
    <col min="1757" max="1757" width="14.28515625" customWidth="1"/>
    <col min="1758" max="1758" width="0.85546875" customWidth="1"/>
    <col min="1759" max="1759" width="16.5703125" bestFit="1" customWidth="1"/>
    <col min="1760" max="1760" width="13.42578125" bestFit="1" customWidth="1"/>
    <col min="2007" max="2007" width="4.85546875" bestFit="1" customWidth="1"/>
    <col min="2008" max="2008" width="5.85546875" bestFit="1" customWidth="1"/>
    <col min="2009" max="2009" width="7.42578125" bestFit="1" customWidth="1"/>
    <col min="2010" max="2010" width="8.140625" bestFit="1" customWidth="1"/>
    <col min="2011" max="2011" width="4.5703125" bestFit="1" customWidth="1"/>
    <col min="2012" max="2012" width="57.5703125" customWidth="1"/>
    <col min="2013" max="2013" width="14.28515625" customWidth="1"/>
    <col min="2014" max="2014" width="0.85546875" customWidth="1"/>
    <col min="2015" max="2015" width="16.5703125" bestFit="1" customWidth="1"/>
    <col min="2016" max="2016" width="13.42578125" bestFit="1" customWidth="1"/>
    <col min="2263" max="2263" width="4.85546875" bestFit="1" customWidth="1"/>
    <col min="2264" max="2264" width="5.85546875" bestFit="1" customWidth="1"/>
    <col min="2265" max="2265" width="7.42578125" bestFit="1" customWidth="1"/>
    <col min="2266" max="2266" width="8.140625" bestFit="1" customWidth="1"/>
    <col min="2267" max="2267" width="4.5703125" bestFit="1" customWidth="1"/>
    <col min="2268" max="2268" width="57.5703125" customWidth="1"/>
    <col min="2269" max="2269" width="14.28515625" customWidth="1"/>
    <col min="2270" max="2270" width="0.85546875" customWidth="1"/>
    <col min="2271" max="2271" width="16.5703125" bestFit="1" customWidth="1"/>
    <col min="2272" max="2272" width="13.42578125" bestFit="1" customWidth="1"/>
    <col min="2519" max="2519" width="4.85546875" bestFit="1" customWidth="1"/>
    <col min="2520" max="2520" width="5.85546875" bestFit="1" customWidth="1"/>
    <col min="2521" max="2521" width="7.42578125" bestFit="1" customWidth="1"/>
    <col min="2522" max="2522" width="8.140625" bestFit="1" customWidth="1"/>
    <col min="2523" max="2523" width="4.5703125" bestFit="1" customWidth="1"/>
    <col min="2524" max="2524" width="57.5703125" customWidth="1"/>
    <col min="2525" max="2525" width="14.28515625" customWidth="1"/>
    <col min="2526" max="2526" width="0.85546875" customWidth="1"/>
    <col min="2527" max="2527" width="16.5703125" bestFit="1" customWidth="1"/>
    <col min="2528" max="2528" width="13.42578125" bestFit="1" customWidth="1"/>
    <col min="2775" max="2775" width="4.85546875" bestFit="1" customWidth="1"/>
    <col min="2776" max="2776" width="5.85546875" bestFit="1" customWidth="1"/>
    <col min="2777" max="2777" width="7.42578125" bestFit="1" customWidth="1"/>
    <col min="2778" max="2778" width="8.140625" bestFit="1" customWidth="1"/>
    <col min="2779" max="2779" width="4.5703125" bestFit="1" customWidth="1"/>
    <col min="2780" max="2780" width="57.5703125" customWidth="1"/>
    <col min="2781" max="2781" width="14.28515625" customWidth="1"/>
    <col min="2782" max="2782" width="0.85546875" customWidth="1"/>
    <col min="2783" max="2783" width="16.5703125" bestFit="1" customWidth="1"/>
    <col min="2784" max="2784" width="13.42578125" bestFit="1" customWidth="1"/>
    <col min="3031" max="3031" width="4.85546875" bestFit="1" customWidth="1"/>
    <col min="3032" max="3032" width="5.85546875" bestFit="1" customWidth="1"/>
    <col min="3033" max="3033" width="7.42578125" bestFit="1" customWidth="1"/>
    <col min="3034" max="3034" width="8.140625" bestFit="1" customWidth="1"/>
    <col min="3035" max="3035" width="4.5703125" bestFit="1" customWidth="1"/>
    <col min="3036" max="3036" width="57.5703125" customWidth="1"/>
    <col min="3037" max="3037" width="14.28515625" customWidth="1"/>
    <col min="3038" max="3038" width="0.85546875" customWidth="1"/>
    <col min="3039" max="3039" width="16.5703125" bestFit="1" customWidth="1"/>
    <col min="3040" max="3040" width="13.42578125" bestFit="1" customWidth="1"/>
    <col min="3287" max="3287" width="4.85546875" bestFit="1" customWidth="1"/>
    <col min="3288" max="3288" width="5.85546875" bestFit="1" customWidth="1"/>
    <col min="3289" max="3289" width="7.42578125" bestFit="1" customWidth="1"/>
    <col min="3290" max="3290" width="8.140625" bestFit="1" customWidth="1"/>
    <col min="3291" max="3291" width="4.5703125" bestFit="1" customWidth="1"/>
    <col min="3292" max="3292" width="57.5703125" customWidth="1"/>
    <col min="3293" max="3293" width="14.28515625" customWidth="1"/>
    <col min="3294" max="3294" width="0.85546875" customWidth="1"/>
    <col min="3295" max="3295" width="16.5703125" bestFit="1" customWidth="1"/>
    <col min="3296" max="3296" width="13.42578125" bestFit="1" customWidth="1"/>
    <col min="3543" max="3543" width="4.85546875" bestFit="1" customWidth="1"/>
    <col min="3544" max="3544" width="5.85546875" bestFit="1" customWidth="1"/>
    <col min="3545" max="3545" width="7.42578125" bestFit="1" customWidth="1"/>
    <col min="3546" max="3546" width="8.140625" bestFit="1" customWidth="1"/>
    <col min="3547" max="3547" width="4.5703125" bestFit="1" customWidth="1"/>
    <col min="3548" max="3548" width="57.5703125" customWidth="1"/>
    <col min="3549" max="3549" width="14.28515625" customWidth="1"/>
    <col min="3550" max="3550" width="0.85546875" customWidth="1"/>
    <col min="3551" max="3551" width="16.5703125" bestFit="1" customWidth="1"/>
    <col min="3552" max="3552" width="13.42578125" bestFit="1" customWidth="1"/>
    <col min="3799" max="3799" width="4.85546875" bestFit="1" customWidth="1"/>
    <col min="3800" max="3800" width="5.85546875" bestFit="1" customWidth="1"/>
    <col min="3801" max="3801" width="7.42578125" bestFit="1" customWidth="1"/>
    <col min="3802" max="3802" width="8.140625" bestFit="1" customWidth="1"/>
    <col min="3803" max="3803" width="4.5703125" bestFit="1" customWidth="1"/>
    <col min="3804" max="3804" width="57.5703125" customWidth="1"/>
    <col min="3805" max="3805" width="14.28515625" customWidth="1"/>
    <col min="3806" max="3806" width="0.85546875" customWidth="1"/>
    <col min="3807" max="3807" width="16.5703125" bestFit="1" customWidth="1"/>
    <col min="3808" max="3808" width="13.42578125" bestFit="1" customWidth="1"/>
    <col min="4055" max="4055" width="4.85546875" bestFit="1" customWidth="1"/>
    <col min="4056" max="4056" width="5.85546875" bestFit="1" customWidth="1"/>
    <col min="4057" max="4057" width="7.42578125" bestFit="1" customWidth="1"/>
    <col min="4058" max="4058" width="8.140625" bestFit="1" customWidth="1"/>
    <col min="4059" max="4059" width="4.5703125" bestFit="1" customWidth="1"/>
    <col min="4060" max="4060" width="57.5703125" customWidth="1"/>
    <col min="4061" max="4061" width="14.28515625" customWidth="1"/>
    <col min="4062" max="4062" width="0.85546875" customWidth="1"/>
    <col min="4063" max="4063" width="16.5703125" bestFit="1" customWidth="1"/>
    <col min="4064" max="4064" width="13.42578125" bestFit="1" customWidth="1"/>
    <col min="4311" max="4311" width="4.85546875" bestFit="1" customWidth="1"/>
    <col min="4312" max="4312" width="5.85546875" bestFit="1" customWidth="1"/>
    <col min="4313" max="4313" width="7.42578125" bestFit="1" customWidth="1"/>
    <col min="4314" max="4314" width="8.140625" bestFit="1" customWidth="1"/>
    <col min="4315" max="4315" width="4.5703125" bestFit="1" customWidth="1"/>
    <col min="4316" max="4316" width="57.5703125" customWidth="1"/>
    <col min="4317" max="4317" width="14.28515625" customWidth="1"/>
    <col min="4318" max="4318" width="0.85546875" customWidth="1"/>
    <col min="4319" max="4319" width="16.5703125" bestFit="1" customWidth="1"/>
    <col min="4320" max="4320" width="13.42578125" bestFit="1" customWidth="1"/>
    <col min="4567" max="4567" width="4.85546875" bestFit="1" customWidth="1"/>
    <col min="4568" max="4568" width="5.85546875" bestFit="1" customWidth="1"/>
    <col min="4569" max="4569" width="7.42578125" bestFit="1" customWidth="1"/>
    <col min="4570" max="4570" width="8.140625" bestFit="1" customWidth="1"/>
    <col min="4571" max="4571" width="4.5703125" bestFit="1" customWidth="1"/>
    <col min="4572" max="4572" width="57.5703125" customWidth="1"/>
    <col min="4573" max="4573" width="14.28515625" customWidth="1"/>
    <col min="4574" max="4574" width="0.85546875" customWidth="1"/>
    <col min="4575" max="4575" width="16.5703125" bestFit="1" customWidth="1"/>
    <col min="4576" max="4576" width="13.42578125" bestFit="1" customWidth="1"/>
    <col min="4823" max="4823" width="4.85546875" bestFit="1" customWidth="1"/>
    <col min="4824" max="4824" width="5.85546875" bestFit="1" customWidth="1"/>
    <col min="4825" max="4825" width="7.42578125" bestFit="1" customWidth="1"/>
    <col min="4826" max="4826" width="8.140625" bestFit="1" customWidth="1"/>
    <col min="4827" max="4827" width="4.5703125" bestFit="1" customWidth="1"/>
    <col min="4828" max="4828" width="57.5703125" customWidth="1"/>
    <col min="4829" max="4829" width="14.28515625" customWidth="1"/>
    <col min="4830" max="4830" width="0.85546875" customWidth="1"/>
    <col min="4831" max="4831" width="16.5703125" bestFit="1" customWidth="1"/>
    <col min="4832" max="4832" width="13.42578125" bestFit="1" customWidth="1"/>
    <col min="5079" max="5079" width="4.85546875" bestFit="1" customWidth="1"/>
    <col min="5080" max="5080" width="5.85546875" bestFit="1" customWidth="1"/>
    <col min="5081" max="5081" width="7.42578125" bestFit="1" customWidth="1"/>
    <col min="5082" max="5082" width="8.140625" bestFit="1" customWidth="1"/>
    <col min="5083" max="5083" width="4.5703125" bestFit="1" customWidth="1"/>
    <col min="5084" max="5084" width="57.5703125" customWidth="1"/>
    <col min="5085" max="5085" width="14.28515625" customWidth="1"/>
    <col min="5086" max="5086" width="0.85546875" customWidth="1"/>
    <col min="5087" max="5087" width="16.5703125" bestFit="1" customWidth="1"/>
    <col min="5088" max="5088" width="13.42578125" bestFit="1" customWidth="1"/>
    <col min="5335" max="5335" width="4.85546875" bestFit="1" customWidth="1"/>
    <col min="5336" max="5336" width="5.85546875" bestFit="1" customWidth="1"/>
    <col min="5337" max="5337" width="7.42578125" bestFit="1" customWidth="1"/>
    <col min="5338" max="5338" width="8.140625" bestFit="1" customWidth="1"/>
    <col min="5339" max="5339" width="4.5703125" bestFit="1" customWidth="1"/>
    <col min="5340" max="5340" width="57.5703125" customWidth="1"/>
    <col min="5341" max="5341" width="14.28515625" customWidth="1"/>
    <col min="5342" max="5342" width="0.85546875" customWidth="1"/>
    <col min="5343" max="5343" width="16.5703125" bestFit="1" customWidth="1"/>
    <col min="5344" max="5344" width="13.42578125" bestFit="1" customWidth="1"/>
    <col min="5591" max="5591" width="4.85546875" bestFit="1" customWidth="1"/>
    <col min="5592" max="5592" width="5.85546875" bestFit="1" customWidth="1"/>
    <col min="5593" max="5593" width="7.42578125" bestFit="1" customWidth="1"/>
    <col min="5594" max="5594" width="8.140625" bestFit="1" customWidth="1"/>
    <col min="5595" max="5595" width="4.5703125" bestFit="1" customWidth="1"/>
    <col min="5596" max="5596" width="57.5703125" customWidth="1"/>
    <col min="5597" max="5597" width="14.28515625" customWidth="1"/>
    <col min="5598" max="5598" width="0.85546875" customWidth="1"/>
    <col min="5599" max="5599" width="16.5703125" bestFit="1" customWidth="1"/>
    <col min="5600" max="5600" width="13.42578125" bestFit="1" customWidth="1"/>
    <col min="5847" max="5847" width="4.85546875" bestFit="1" customWidth="1"/>
    <col min="5848" max="5848" width="5.85546875" bestFit="1" customWidth="1"/>
    <col min="5849" max="5849" width="7.42578125" bestFit="1" customWidth="1"/>
    <col min="5850" max="5850" width="8.140625" bestFit="1" customWidth="1"/>
    <col min="5851" max="5851" width="4.5703125" bestFit="1" customWidth="1"/>
    <col min="5852" max="5852" width="57.5703125" customWidth="1"/>
    <col min="5853" max="5853" width="14.28515625" customWidth="1"/>
    <col min="5854" max="5854" width="0.85546875" customWidth="1"/>
    <col min="5855" max="5855" width="16.5703125" bestFit="1" customWidth="1"/>
    <col min="5856" max="5856" width="13.42578125" bestFit="1" customWidth="1"/>
    <col min="6103" max="6103" width="4.85546875" bestFit="1" customWidth="1"/>
    <col min="6104" max="6104" width="5.85546875" bestFit="1" customWidth="1"/>
    <col min="6105" max="6105" width="7.42578125" bestFit="1" customWidth="1"/>
    <col min="6106" max="6106" width="8.140625" bestFit="1" customWidth="1"/>
    <col min="6107" max="6107" width="4.5703125" bestFit="1" customWidth="1"/>
    <col min="6108" max="6108" width="57.5703125" customWidth="1"/>
    <col min="6109" max="6109" width="14.28515625" customWidth="1"/>
    <col min="6110" max="6110" width="0.85546875" customWidth="1"/>
    <col min="6111" max="6111" width="16.5703125" bestFit="1" customWidth="1"/>
    <col min="6112" max="6112" width="13.42578125" bestFit="1" customWidth="1"/>
    <col min="6359" max="6359" width="4.85546875" bestFit="1" customWidth="1"/>
    <col min="6360" max="6360" width="5.85546875" bestFit="1" customWidth="1"/>
    <col min="6361" max="6361" width="7.42578125" bestFit="1" customWidth="1"/>
    <col min="6362" max="6362" width="8.140625" bestFit="1" customWidth="1"/>
    <col min="6363" max="6363" width="4.5703125" bestFit="1" customWidth="1"/>
    <col min="6364" max="6364" width="57.5703125" customWidth="1"/>
    <col min="6365" max="6365" width="14.28515625" customWidth="1"/>
    <col min="6366" max="6366" width="0.85546875" customWidth="1"/>
    <col min="6367" max="6367" width="16.5703125" bestFit="1" customWidth="1"/>
    <col min="6368" max="6368" width="13.42578125" bestFit="1" customWidth="1"/>
    <col min="6615" max="6615" width="4.85546875" bestFit="1" customWidth="1"/>
    <col min="6616" max="6616" width="5.85546875" bestFit="1" customWidth="1"/>
    <col min="6617" max="6617" width="7.42578125" bestFit="1" customWidth="1"/>
    <col min="6618" max="6618" width="8.140625" bestFit="1" customWidth="1"/>
    <col min="6619" max="6619" width="4.5703125" bestFit="1" customWidth="1"/>
    <col min="6620" max="6620" width="57.5703125" customWidth="1"/>
    <col min="6621" max="6621" width="14.28515625" customWidth="1"/>
    <col min="6622" max="6622" width="0.85546875" customWidth="1"/>
    <col min="6623" max="6623" width="16.5703125" bestFit="1" customWidth="1"/>
    <col min="6624" max="6624" width="13.42578125" bestFit="1" customWidth="1"/>
    <col min="6871" max="6871" width="4.85546875" bestFit="1" customWidth="1"/>
    <col min="6872" max="6872" width="5.85546875" bestFit="1" customWidth="1"/>
    <col min="6873" max="6873" width="7.42578125" bestFit="1" customWidth="1"/>
    <col min="6874" max="6874" width="8.140625" bestFit="1" customWidth="1"/>
    <col min="6875" max="6875" width="4.5703125" bestFit="1" customWidth="1"/>
    <col min="6876" max="6876" width="57.5703125" customWidth="1"/>
    <col min="6877" max="6877" width="14.28515625" customWidth="1"/>
    <col min="6878" max="6878" width="0.85546875" customWidth="1"/>
    <col min="6879" max="6879" width="16.5703125" bestFit="1" customWidth="1"/>
    <col min="6880" max="6880" width="13.42578125" bestFit="1" customWidth="1"/>
    <col min="7127" max="7127" width="4.85546875" bestFit="1" customWidth="1"/>
    <col min="7128" max="7128" width="5.85546875" bestFit="1" customWidth="1"/>
    <col min="7129" max="7129" width="7.42578125" bestFit="1" customWidth="1"/>
    <col min="7130" max="7130" width="8.140625" bestFit="1" customWidth="1"/>
    <col min="7131" max="7131" width="4.5703125" bestFit="1" customWidth="1"/>
    <col min="7132" max="7132" width="57.5703125" customWidth="1"/>
    <col min="7133" max="7133" width="14.28515625" customWidth="1"/>
    <col min="7134" max="7134" width="0.85546875" customWidth="1"/>
    <col min="7135" max="7135" width="16.5703125" bestFit="1" customWidth="1"/>
    <col min="7136" max="7136" width="13.42578125" bestFit="1" customWidth="1"/>
    <col min="7383" max="7383" width="4.85546875" bestFit="1" customWidth="1"/>
    <col min="7384" max="7384" width="5.85546875" bestFit="1" customWidth="1"/>
    <col min="7385" max="7385" width="7.42578125" bestFit="1" customWidth="1"/>
    <col min="7386" max="7386" width="8.140625" bestFit="1" customWidth="1"/>
    <col min="7387" max="7387" width="4.5703125" bestFit="1" customWidth="1"/>
    <col min="7388" max="7388" width="57.5703125" customWidth="1"/>
    <col min="7389" max="7389" width="14.28515625" customWidth="1"/>
    <col min="7390" max="7390" width="0.85546875" customWidth="1"/>
    <col min="7391" max="7391" width="16.5703125" bestFit="1" customWidth="1"/>
    <col min="7392" max="7392" width="13.42578125" bestFit="1" customWidth="1"/>
    <col min="7639" max="7639" width="4.85546875" bestFit="1" customWidth="1"/>
    <col min="7640" max="7640" width="5.85546875" bestFit="1" customWidth="1"/>
    <col min="7641" max="7641" width="7.42578125" bestFit="1" customWidth="1"/>
    <col min="7642" max="7642" width="8.140625" bestFit="1" customWidth="1"/>
    <col min="7643" max="7643" width="4.5703125" bestFit="1" customWidth="1"/>
    <col min="7644" max="7644" width="57.5703125" customWidth="1"/>
    <col min="7645" max="7645" width="14.28515625" customWidth="1"/>
    <col min="7646" max="7646" width="0.85546875" customWidth="1"/>
    <col min="7647" max="7647" width="16.5703125" bestFit="1" customWidth="1"/>
    <col min="7648" max="7648" width="13.42578125" bestFit="1" customWidth="1"/>
    <col min="7895" max="7895" width="4.85546875" bestFit="1" customWidth="1"/>
    <col min="7896" max="7896" width="5.85546875" bestFit="1" customWidth="1"/>
    <col min="7897" max="7897" width="7.42578125" bestFit="1" customWidth="1"/>
    <col min="7898" max="7898" width="8.140625" bestFit="1" customWidth="1"/>
    <col min="7899" max="7899" width="4.5703125" bestFit="1" customWidth="1"/>
    <col min="7900" max="7900" width="57.5703125" customWidth="1"/>
    <col min="7901" max="7901" width="14.28515625" customWidth="1"/>
    <col min="7902" max="7902" width="0.85546875" customWidth="1"/>
    <col min="7903" max="7903" width="16.5703125" bestFit="1" customWidth="1"/>
    <col min="7904" max="7904" width="13.42578125" bestFit="1" customWidth="1"/>
    <col min="8151" max="8151" width="4.85546875" bestFit="1" customWidth="1"/>
    <col min="8152" max="8152" width="5.85546875" bestFit="1" customWidth="1"/>
    <col min="8153" max="8153" width="7.42578125" bestFit="1" customWidth="1"/>
    <col min="8154" max="8154" width="8.140625" bestFit="1" customWidth="1"/>
    <col min="8155" max="8155" width="4.5703125" bestFit="1" customWidth="1"/>
    <col min="8156" max="8156" width="57.5703125" customWidth="1"/>
    <col min="8157" max="8157" width="14.28515625" customWidth="1"/>
    <col min="8158" max="8158" width="0.85546875" customWidth="1"/>
    <col min="8159" max="8159" width="16.5703125" bestFit="1" customWidth="1"/>
    <col min="8160" max="8160" width="13.42578125" bestFit="1" customWidth="1"/>
    <col min="8407" max="8407" width="4.85546875" bestFit="1" customWidth="1"/>
    <col min="8408" max="8408" width="5.85546875" bestFit="1" customWidth="1"/>
    <col min="8409" max="8409" width="7.42578125" bestFit="1" customWidth="1"/>
    <col min="8410" max="8410" width="8.140625" bestFit="1" customWidth="1"/>
    <col min="8411" max="8411" width="4.5703125" bestFit="1" customWidth="1"/>
    <col min="8412" max="8412" width="57.5703125" customWidth="1"/>
    <col min="8413" max="8413" width="14.28515625" customWidth="1"/>
    <col min="8414" max="8414" width="0.85546875" customWidth="1"/>
    <col min="8415" max="8415" width="16.5703125" bestFit="1" customWidth="1"/>
    <col min="8416" max="8416" width="13.42578125" bestFit="1" customWidth="1"/>
    <col min="8663" max="8663" width="4.85546875" bestFit="1" customWidth="1"/>
    <col min="8664" max="8664" width="5.85546875" bestFit="1" customWidth="1"/>
    <col min="8665" max="8665" width="7.42578125" bestFit="1" customWidth="1"/>
    <col min="8666" max="8666" width="8.140625" bestFit="1" customWidth="1"/>
    <col min="8667" max="8667" width="4.5703125" bestFit="1" customWidth="1"/>
    <col min="8668" max="8668" width="57.5703125" customWidth="1"/>
    <col min="8669" max="8669" width="14.28515625" customWidth="1"/>
    <col min="8670" max="8670" width="0.85546875" customWidth="1"/>
    <col min="8671" max="8671" width="16.5703125" bestFit="1" customWidth="1"/>
    <col min="8672" max="8672" width="13.42578125" bestFit="1" customWidth="1"/>
    <col min="8919" max="8919" width="4.85546875" bestFit="1" customWidth="1"/>
    <col min="8920" max="8920" width="5.85546875" bestFit="1" customWidth="1"/>
    <col min="8921" max="8921" width="7.42578125" bestFit="1" customWidth="1"/>
    <col min="8922" max="8922" width="8.140625" bestFit="1" customWidth="1"/>
    <col min="8923" max="8923" width="4.5703125" bestFit="1" customWidth="1"/>
    <col min="8924" max="8924" width="57.5703125" customWidth="1"/>
    <col min="8925" max="8925" width="14.28515625" customWidth="1"/>
    <col min="8926" max="8926" width="0.85546875" customWidth="1"/>
    <col min="8927" max="8927" width="16.5703125" bestFit="1" customWidth="1"/>
    <col min="8928" max="8928" width="13.42578125" bestFit="1" customWidth="1"/>
    <col min="9175" max="9175" width="4.85546875" bestFit="1" customWidth="1"/>
    <col min="9176" max="9176" width="5.85546875" bestFit="1" customWidth="1"/>
    <col min="9177" max="9177" width="7.42578125" bestFit="1" customWidth="1"/>
    <col min="9178" max="9178" width="8.140625" bestFit="1" customWidth="1"/>
    <col min="9179" max="9179" width="4.5703125" bestFit="1" customWidth="1"/>
    <col min="9180" max="9180" width="57.5703125" customWidth="1"/>
    <col min="9181" max="9181" width="14.28515625" customWidth="1"/>
    <col min="9182" max="9182" width="0.85546875" customWidth="1"/>
    <col min="9183" max="9183" width="16.5703125" bestFit="1" customWidth="1"/>
    <col min="9184" max="9184" width="13.42578125" bestFit="1" customWidth="1"/>
    <col min="9431" max="9431" width="4.85546875" bestFit="1" customWidth="1"/>
    <col min="9432" max="9432" width="5.85546875" bestFit="1" customWidth="1"/>
    <col min="9433" max="9433" width="7.42578125" bestFit="1" customWidth="1"/>
    <col min="9434" max="9434" width="8.140625" bestFit="1" customWidth="1"/>
    <col min="9435" max="9435" width="4.5703125" bestFit="1" customWidth="1"/>
    <col min="9436" max="9436" width="57.5703125" customWidth="1"/>
    <col min="9437" max="9437" width="14.28515625" customWidth="1"/>
    <col min="9438" max="9438" width="0.85546875" customWidth="1"/>
    <col min="9439" max="9439" width="16.5703125" bestFit="1" customWidth="1"/>
    <col min="9440" max="9440" width="13.42578125" bestFit="1" customWidth="1"/>
    <col min="9687" max="9687" width="4.85546875" bestFit="1" customWidth="1"/>
    <col min="9688" max="9688" width="5.85546875" bestFit="1" customWidth="1"/>
    <col min="9689" max="9689" width="7.42578125" bestFit="1" customWidth="1"/>
    <col min="9690" max="9690" width="8.140625" bestFit="1" customWidth="1"/>
    <col min="9691" max="9691" width="4.5703125" bestFit="1" customWidth="1"/>
    <col min="9692" max="9692" width="57.5703125" customWidth="1"/>
    <col min="9693" max="9693" width="14.28515625" customWidth="1"/>
    <col min="9694" max="9694" width="0.85546875" customWidth="1"/>
    <col min="9695" max="9695" width="16.5703125" bestFit="1" customWidth="1"/>
    <col min="9696" max="9696" width="13.42578125" bestFit="1" customWidth="1"/>
    <col min="9943" max="9943" width="4.85546875" bestFit="1" customWidth="1"/>
    <col min="9944" max="9944" width="5.85546875" bestFit="1" customWidth="1"/>
    <col min="9945" max="9945" width="7.42578125" bestFit="1" customWidth="1"/>
    <col min="9946" max="9946" width="8.140625" bestFit="1" customWidth="1"/>
    <col min="9947" max="9947" width="4.5703125" bestFit="1" customWidth="1"/>
    <col min="9948" max="9948" width="57.5703125" customWidth="1"/>
    <col min="9949" max="9949" width="14.28515625" customWidth="1"/>
    <col min="9950" max="9950" width="0.85546875" customWidth="1"/>
    <col min="9951" max="9951" width="16.5703125" bestFit="1" customWidth="1"/>
    <col min="9952" max="9952" width="13.42578125" bestFit="1" customWidth="1"/>
    <col min="10199" max="10199" width="4.85546875" bestFit="1" customWidth="1"/>
    <col min="10200" max="10200" width="5.85546875" bestFit="1" customWidth="1"/>
    <col min="10201" max="10201" width="7.42578125" bestFit="1" customWidth="1"/>
    <col min="10202" max="10202" width="8.140625" bestFit="1" customWidth="1"/>
    <col min="10203" max="10203" width="4.5703125" bestFit="1" customWidth="1"/>
    <col min="10204" max="10204" width="57.5703125" customWidth="1"/>
    <col min="10205" max="10205" width="14.28515625" customWidth="1"/>
    <col min="10206" max="10206" width="0.85546875" customWidth="1"/>
    <col min="10207" max="10207" width="16.5703125" bestFit="1" customWidth="1"/>
    <col min="10208" max="10208" width="13.42578125" bestFit="1" customWidth="1"/>
    <col min="10455" max="10455" width="4.85546875" bestFit="1" customWidth="1"/>
    <col min="10456" max="10456" width="5.85546875" bestFit="1" customWidth="1"/>
    <col min="10457" max="10457" width="7.42578125" bestFit="1" customWidth="1"/>
    <col min="10458" max="10458" width="8.140625" bestFit="1" customWidth="1"/>
    <col min="10459" max="10459" width="4.5703125" bestFit="1" customWidth="1"/>
    <col min="10460" max="10460" width="57.5703125" customWidth="1"/>
    <col min="10461" max="10461" width="14.28515625" customWidth="1"/>
    <col min="10462" max="10462" width="0.85546875" customWidth="1"/>
    <col min="10463" max="10463" width="16.5703125" bestFit="1" customWidth="1"/>
    <col min="10464" max="10464" width="13.42578125" bestFit="1" customWidth="1"/>
    <col min="10711" max="10711" width="4.85546875" bestFit="1" customWidth="1"/>
    <col min="10712" max="10712" width="5.85546875" bestFit="1" customWidth="1"/>
    <col min="10713" max="10713" width="7.42578125" bestFit="1" customWidth="1"/>
    <col min="10714" max="10714" width="8.140625" bestFit="1" customWidth="1"/>
    <col min="10715" max="10715" width="4.5703125" bestFit="1" customWidth="1"/>
    <col min="10716" max="10716" width="57.5703125" customWidth="1"/>
    <col min="10717" max="10717" width="14.28515625" customWidth="1"/>
    <col min="10718" max="10718" width="0.85546875" customWidth="1"/>
    <col min="10719" max="10719" width="16.5703125" bestFit="1" customWidth="1"/>
    <col min="10720" max="10720" width="13.42578125" bestFit="1" customWidth="1"/>
    <col min="10967" max="10967" width="4.85546875" bestFit="1" customWidth="1"/>
    <col min="10968" max="10968" width="5.85546875" bestFit="1" customWidth="1"/>
    <col min="10969" max="10969" width="7.42578125" bestFit="1" customWidth="1"/>
    <col min="10970" max="10970" width="8.140625" bestFit="1" customWidth="1"/>
    <col min="10971" max="10971" width="4.5703125" bestFit="1" customWidth="1"/>
    <col min="10972" max="10972" width="57.5703125" customWidth="1"/>
    <col min="10973" max="10973" width="14.28515625" customWidth="1"/>
    <col min="10974" max="10974" width="0.85546875" customWidth="1"/>
    <col min="10975" max="10975" width="16.5703125" bestFit="1" customWidth="1"/>
    <col min="10976" max="10976" width="13.42578125" bestFit="1" customWidth="1"/>
    <col min="11223" max="11223" width="4.85546875" bestFit="1" customWidth="1"/>
    <col min="11224" max="11224" width="5.85546875" bestFit="1" customWidth="1"/>
    <col min="11225" max="11225" width="7.42578125" bestFit="1" customWidth="1"/>
    <col min="11226" max="11226" width="8.140625" bestFit="1" customWidth="1"/>
    <col min="11227" max="11227" width="4.5703125" bestFit="1" customWidth="1"/>
    <col min="11228" max="11228" width="57.5703125" customWidth="1"/>
    <col min="11229" max="11229" width="14.28515625" customWidth="1"/>
    <col min="11230" max="11230" width="0.85546875" customWidth="1"/>
    <col min="11231" max="11231" width="16.5703125" bestFit="1" customWidth="1"/>
    <col min="11232" max="11232" width="13.42578125" bestFit="1" customWidth="1"/>
    <col min="11479" max="11479" width="4.85546875" bestFit="1" customWidth="1"/>
    <col min="11480" max="11480" width="5.85546875" bestFit="1" customWidth="1"/>
    <col min="11481" max="11481" width="7.42578125" bestFit="1" customWidth="1"/>
    <col min="11482" max="11482" width="8.140625" bestFit="1" customWidth="1"/>
    <col min="11483" max="11483" width="4.5703125" bestFit="1" customWidth="1"/>
    <col min="11484" max="11484" width="57.5703125" customWidth="1"/>
    <col min="11485" max="11485" width="14.28515625" customWidth="1"/>
    <col min="11486" max="11486" width="0.85546875" customWidth="1"/>
    <col min="11487" max="11487" width="16.5703125" bestFit="1" customWidth="1"/>
    <col min="11488" max="11488" width="13.42578125" bestFit="1" customWidth="1"/>
    <col min="11735" max="11735" width="4.85546875" bestFit="1" customWidth="1"/>
    <col min="11736" max="11736" width="5.85546875" bestFit="1" customWidth="1"/>
    <col min="11737" max="11737" width="7.42578125" bestFit="1" customWidth="1"/>
    <col min="11738" max="11738" width="8.140625" bestFit="1" customWidth="1"/>
    <col min="11739" max="11739" width="4.5703125" bestFit="1" customWidth="1"/>
    <col min="11740" max="11740" width="57.5703125" customWidth="1"/>
    <col min="11741" max="11741" width="14.28515625" customWidth="1"/>
    <col min="11742" max="11742" width="0.85546875" customWidth="1"/>
    <col min="11743" max="11743" width="16.5703125" bestFit="1" customWidth="1"/>
    <col min="11744" max="11744" width="13.42578125" bestFit="1" customWidth="1"/>
    <col min="11991" max="11991" width="4.85546875" bestFit="1" customWidth="1"/>
    <col min="11992" max="11992" width="5.85546875" bestFit="1" customWidth="1"/>
    <col min="11993" max="11993" width="7.42578125" bestFit="1" customWidth="1"/>
    <col min="11994" max="11994" width="8.140625" bestFit="1" customWidth="1"/>
    <col min="11995" max="11995" width="4.5703125" bestFit="1" customWidth="1"/>
    <col min="11996" max="11996" width="57.5703125" customWidth="1"/>
    <col min="11997" max="11997" width="14.28515625" customWidth="1"/>
    <col min="11998" max="11998" width="0.85546875" customWidth="1"/>
    <col min="11999" max="11999" width="16.5703125" bestFit="1" customWidth="1"/>
    <col min="12000" max="12000" width="13.42578125" bestFit="1" customWidth="1"/>
    <col min="12247" max="12247" width="4.85546875" bestFit="1" customWidth="1"/>
    <col min="12248" max="12248" width="5.85546875" bestFit="1" customWidth="1"/>
    <col min="12249" max="12249" width="7.42578125" bestFit="1" customWidth="1"/>
    <col min="12250" max="12250" width="8.140625" bestFit="1" customWidth="1"/>
    <col min="12251" max="12251" width="4.5703125" bestFit="1" customWidth="1"/>
    <col min="12252" max="12252" width="57.5703125" customWidth="1"/>
    <col min="12253" max="12253" width="14.28515625" customWidth="1"/>
    <col min="12254" max="12254" width="0.85546875" customWidth="1"/>
    <col min="12255" max="12255" width="16.5703125" bestFit="1" customWidth="1"/>
    <col min="12256" max="12256" width="13.42578125" bestFit="1" customWidth="1"/>
    <col min="12503" max="12503" width="4.85546875" bestFit="1" customWidth="1"/>
    <col min="12504" max="12504" width="5.85546875" bestFit="1" customWidth="1"/>
    <col min="12505" max="12505" width="7.42578125" bestFit="1" customWidth="1"/>
    <col min="12506" max="12506" width="8.140625" bestFit="1" customWidth="1"/>
    <col min="12507" max="12507" width="4.5703125" bestFit="1" customWidth="1"/>
    <col min="12508" max="12508" width="57.5703125" customWidth="1"/>
    <col min="12509" max="12509" width="14.28515625" customWidth="1"/>
    <col min="12510" max="12510" width="0.85546875" customWidth="1"/>
    <col min="12511" max="12511" width="16.5703125" bestFit="1" customWidth="1"/>
    <col min="12512" max="12512" width="13.42578125" bestFit="1" customWidth="1"/>
    <col min="12759" max="12759" width="4.85546875" bestFit="1" customWidth="1"/>
    <col min="12760" max="12760" width="5.85546875" bestFit="1" customWidth="1"/>
    <col min="12761" max="12761" width="7.42578125" bestFit="1" customWidth="1"/>
    <col min="12762" max="12762" width="8.140625" bestFit="1" customWidth="1"/>
    <col min="12763" max="12763" width="4.5703125" bestFit="1" customWidth="1"/>
    <col min="12764" max="12764" width="57.5703125" customWidth="1"/>
    <col min="12765" max="12765" width="14.28515625" customWidth="1"/>
    <col min="12766" max="12766" width="0.85546875" customWidth="1"/>
    <col min="12767" max="12767" width="16.5703125" bestFit="1" customWidth="1"/>
    <col min="12768" max="12768" width="13.42578125" bestFit="1" customWidth="1"/>
    <col min="13015" max="13015" width="4.85546875" bestFit="1" customWidth="1"/>
    <col min="13016" max="13016" width="5.85546875" bestFit="1" customWidth="1"/>
    <col min="13017" max="13017" width="7.42578125" bestFit="1" customWidth="1"/>
    <col min="13018" max="13018" width="8.140625" bestFit="1" customWidth="1"/>
    <col min="13019" max="13019" width="4.5703125" bestFit="1" customWidth="1"/>
    <col min="13020" max="13020" width="57.5703125" customWidth="1"/>
    <col min="13021" max="13021" width="14.28515625" customWidth="1"/>
    <col min="13022" max="13022" width="0.85546875" customWidth="1"/>
    <col min="13023" max="13023" width="16.5703125" bestFit="1" customWidth="1"/>
    <col min="13024" max="13024" width="13.42578125" bestFit="1" customWidth="1"/>
    <col min="13271" max="13271" width="4.85546875" bestFit="1" customWidth="1"/>
    <col min="13272" max="13272" width="5.85546875" bestFit="1" customWidth="1"/>
    <col min="13273" max="13273" width="7.42578125" bestFit="1" customWidth="1"/>
    <col min="13274" max="13274" width="8.140625" bestFit="1" customWidth="1"/>
    <col min="13275" max="13275" width="4.5703125" bestFit="1" customWidth="1"/>
    <col min="13276" max="13276" width="57.5703125" customWidth="1"/>
    <col min="13277" max="13277" width="14.28515625" customWidth="1"/>
    <col min="13278" max="13278" width="0.85546875" customWidth="1"/>
    <col min="13279" max="13279" width="16.5703125" bestFit="1" customWidth="1"/>
    <col min="13280" max="13280" width="13.42578125" bestFit="1" customWidth="1"/>
    <col min="13527" max="13527" width="4.85546875" bestFit="1" customWidth="1"/>
    <col min="13528" max="13528" width="5.85546875" bestFit="1" customWidth="1"/>
    <col min="13529" max="13529" width="7.42578125" bestFit="1" customWidth="1"/>
    <col min="13530" max="13530" width="8.140625" bestFit="1" customWidth="1"/>
    <col min="13531" max="13531" width="4.5703125" bestFit="1" customWidth="1"/>
    <col min="13532" max="13532" width="57.5703125" customWidth="1"/>
    <col min="13533" max="13533" width="14.28515625" customWidth="1"/>
    <col min="13534" max="13534" width="0.85546875" customWidth="1"/>
    <col min="13535" max="13535" width="16.5703125" bestFit="1" customWidth="1"/>
    <col min="13536" max="13536" width="13.42578125" bestFit="1" customWidth="1"/>
    <col min="13783" max="13783" width="4.85546875" bestFit="1" customWidth="1"/>
    <col min="13784" max="13784" width="5.85546875" bestFit="1" customWidth="1"/>
    <col min="13785" max="13785" width="7.42578125" bestFit="1" customWidth="1"/>
    <col min="13786" max="13786" width="8.140625" bestFit="1" customWidth="1"/>
    <col min="13787" max="13787" width="4.5703125" bestFit="1" customWidth="1"/>
    <col min="13788" max="13788" width="57.5703125" customWidth="1"/>
    <col min="13789" max="13789" width="14.28515625" customWidth="1"/>
    <col min="13790" max="13790" width="0.85546875" customWidth="1"/>
    <col min="13791" max="13791" width="16.5703125" bestFit="1" customWidth="1"/>
    <col min="13792" max="13792" width="13.42578125" bestFit="1" customWidth="1"/>
    <col min="14039" max="14039" width="4.85546875" bestFit="1" customWidth="1"/>
    <col min="14040" max="14040" width="5.85546875" bestFit="1" customWidth="1"/>
    <col min="14041" max="14041" width="7.42578125" bestFit="1" customWidth="1"/>
    <col min="14042" max="14042" width="8.140625" bestFit="1" customWidth="1"/>
    <col min="14043" max="14043" width="4.5703125" bestFit="1" customWidth="1"/>
    <col min="14044" max="14044" width="57.5703125" customWidth="1"/>
    <col min="14045" max="14045" width="14.28515625" customWidth="1"/>
    <col min="14046" max="14046" width="0.85546875" customWidth="1"/>
    <col min="14047" max="14047" width="16.5703125" bestFit="1" customWidth="1"/>
    <col min="14048" max="14048" width="13.42578125" bestFit="1" customWidth="1"/>
    <col min="14295" max="14295" width="4.85546875" bestFit="1" customWidth="1"/>
    <col min="14296" max="14296" width="5.85546875" bestFit="1" customWidth="1"/>
    <col min="14297" max="14297" width="7.42578125" bestFit="1" customWidth="1"/>
    <col min="14298" max="14298" width="8.140625" bestFit="1" customWidth="1"/>
    <col min="14299" max="14299" width="4.5703125" bestFit="1" customWidth="1"/>
    <col min="14300" max="14300" width="57.5703125" customWidth="1"/>
    <col min="14301" max="14301" width="14.28515625" customWidth="1"/>
    <col min="14302" max="14302" width="0.85546875" customWidth="1"/>
    <col min="14303" max="14303" width="16.5703125" bestFit="1" customWidth="1"/>
    <col min="14304" max="14304" width="13.42578125" bestFit="1" customWidth="1"/>
    <col min="14551" max="14551" width="4.85546875" bestFit="1" customWidth="1"/>
    <col min="14552" max="14552" width="5.85546875" bestFit="1" customWidth="1"/>
    <col min="14553" max="14553" width="7.42578125" bestFit="1" customWidth="1"/>
    <col min="14554" max="14554" width="8.140625" bestFit="1" customWidth="1"/>
    <col min="14555" max="14555" width="4.5703125" bestFit="1" customWidth="1"/>
    <col min="14556" max="14556" width="57.5703125" customWidth="1"/>
    <col min="14557" max="14557" width="14.28515625" customWidth="1"/>
    <col min="14558" max="14558" width="0.85546875" customWidth="1"/>
    <col min="14559" max="14559" width="16.5703125" bestFit="1" customWidth="1"/>
    <col min="14560" max="14560" width="13.42578125" bestFit="1" customWidth="1"/>
    <col min="14807" max="14807" width="4.85546875" bestFit="1" customWidth="1"/>
    <col min="14808" max="14808" width="5.85546875" bestFit="1" customWidth="1"/>
    <col min="14809" max="14809" width="7.42578125" bestFit="1" customWidth="1"/>
    <col min="14810" max="14810" width="8.140625" bestFit="1" customWidth="1"/>
    <col min="14811" max="14811" width="4.5703125" bestFit="1" customWidth="1"/>
    <col min="14812" max="14812" width="57.5703125" customWidth="1"/>
    <col min="14813" max="14813" width="14.28515625" customWidth="1"/>
    <col min="14814" max="14814" width="0.85546875" customWidth="1"/>
    <col min="14815" max="14815" width="16.5703125" bestFit="1" customWidth="1"/>
    <col min="14816" max="14816" width="13.42578125" bestFit="1" customWidth="1"/>
    <col min="15063" max="15063" width="4.85546875" bestFit="1" customWidth="1"/>
    <col min="15064" max="15064" width="5.85546875" bestFit="1" customWidth="1"/>
    <col min="15065" max="15065" width="7.42578125" bestFit="1" customWidth="1"/>
    <col min="15066" max="15066" width="8.140625" bestFit="1" customWidth="1"/>
    <col min="15067" max="15067" width="4.5703125" bestFit="1" customWidth="1"/>
    <col min="15068" max="15068" width="57.5703125" customWidth="1"/>
    <col min="15069" max="15069" width="14.28515625" customWidth="1"/>
    <col min="15070" max="15070" width="0.85546875" customWidth="1"/>
    <col min="15071" max="15071" width="16.5703125" bestFit="1" customWidth="1"/>
    <col min="15072" max="15072" width="13.42578125" bestFit="1" customWidth="1"/>
    <col min="15319" max="15319" width="4.85546875" bestFit="1" customWidth="1"/>
    <col min="15320" max="15320" width="5.85546875" bestFit="1" customWidth="1"/>
    <col min="15321" max="15321" width="7.42578125" bestFit="1" customWidth="1"/>
    <col min="15322" max="15322" width="8.140625" bestFit="1" customWidth="1"/>
    <col min="15323" max="15323" width="4.5703125" bestFit="1" customWidth="1"/>
    <col min="15324" max="15324" width="57.5703125" customWidth="1"/>
    <col min="15325" max="15325" width="14.28515625" customWidth="1"/>
    <col min="15326" max="15326" width="0.85546875" customWidth="1"/>
    <col min="15327" max="15327" width="16.5703125" bestFit="1" customWidth="1"/>
    <col min="15328" max="15328" width="13.42578125" bestFit="1" customWidth="1"/>
    <col min="15575" max="15575" width="4.85546875" bestFit="1" customWidth="1"/>
    <col min="15576" max="15576" width="5.85546875" bestFit="1" customWidth="1"/>
    <col min="15577" max="15577" width="7.42578125" bestFit="1" customWidth="1"/>
    <col min="15578" max="15578" width="8.140625" bestFit="1" customWidth="1"/>
    <col min="15579" max="15579" width="4.5703125" bestFit="1" customWidth="1"/>
    <col min="15580" max="15580" width="57.5703125" customWidth="1"/>
    <col min="15581" max="15581" width="14.28515625" customWidth="1"/>
    <col min="15582" max="15582" width="0.85546875" customWidth="1"/>
    <col min="15583" max="15583" width="16.5703125" bestFit="1" customWidth="1"/>
    <col min="15584" max="15584" width="13.42578125" bestFit="1" customWidth="1"/>
    <col min="15831" max="15831" width="4.85546875" bestFit="1" customWidth="1"/>
    <col min="15832" max="15832" width="5.85546875" bestFit="1" customWidth="1"/>
    <col min="15833" max="15833" width="7.42578125" bestFit="1" customWidth="1"/>
    <col min="15834" max="15834" width="8.140625" bestFit="1" customWidth="1"/>
    <col min="15835" max="15835" width="4.5703125" bestFit="1" customWidth="1"/>
    <col min="15836" max="15836" width="57.5703125" customWidth="1"/>
    <col min="15837" max="15837" width="14.28515625" customWidth="1"/>
    <col min="15838" max="15838" width="0.85546875" customWidth="1"/>
    <col min="15839" max="15839" width="16.5703125" bestFit="1" customWidth="1"/>
    <col min="15840" max="15840" width="13.42578125" bestFit="1" customWidth="1"/>
    <col min="16087" max="16087" width="4.85546875" bestFit="1" customWidth="1"/>
    <col min="16088" max="16088" width="5.85546875" bestFit="1" customWidth="1"/>
    <col min="16089" max="16089" width="7.42578125" bestFit="1" customWidth="1"/>
    <col min="16090" max="16090" width="8.140625" bestFit="1" customWidth="1"/>
    <col min="16091" max="16091" width="4.5703125" bestFit="1" customWidth="1"/>
    <col min="16092" max="16092" width="57.5703125" customWidth="1"/>
    <col min="16093" max="16093" width="14.28515625" customWidth="1"/>
    <col min="16094" max="16094" width="0.85546875" customWidth="1"/>
    <col min="16095" max="16095" width="16.5703125" bestFit="1" customWidth="1"/>
    <col min="16096" max="16096" width="13.42578125" bestFit="1" customWidth="1"/>
  </cols>
  <sheetData>
    <row r="1" spans="1:14" x14ac:dyDescent="0.25">
      <c r="A1" s="8"/>
      <c r="B1" s="8"/>
      <c r="C1" s="8"/>
      <c r="D1" s="8"/>
      <c r="E1" s="8"/>
      <c r="F1" s="8"/>
      <c r="G1" s="8"/>
      <c r="H1" s="9"/>
    </row>
    <row r="2" spans="1:14" x14ac:dyDescent="0.25">
      <c r="A2" s="8"/>
      <c r="B2" s="8"/>
      <c r="C2" s="8"/>
      <c r="D2" s="8"/>
      <c r="E2" s="8"/>
      <c r="F2" s="8"/>
      <c r="G2" s="8"/>
      <c r="H2" s="9"/>
    </row>
    <row r="3" spans="1:14" ht="20.25" x14ac:dyDescent="0.3">
      <c r="A3" s="139" t="s">
        <v>136</v>
      </c>
      <c r="B3" s="139"/>
      <c r="C3" s="139"/>
      <c r="D3" s="139"/>
      <c r="E3" s="139"/>
      <c r="F3" s="139"/>
      <c r="G3" s="139"/>
      <c r="H3" s="139"/>
    </row>
    <row r="4" spans="1:14" ht="20.25" x14ac:dyDescent="0.3">
      <c r="A4" s="139" t="s">
        <v>137</v>
      </c>
      <c r="B4" s="139"/>
      <c r="C4" s="139"/>
      <c r="D4" s="139"/>
      <c r="E4" s="139"/>
      <c r="F4" s="139"/>
      <c r="G4" s="139"/>
      <c r="H4" s="139"/>
    </row>
    <row r="5" spans="1:14" ht="20.25" x14ac:dyDescent="0.3">
      <c r="A5" s="139" t="s">
        <v>138</v>
      </c>
      <c r="B5" s="139"/>
      <c r="C5" s="139"/>
      <c r="D5" s="139"/>
      <c r="E5" s="139"/>
      <c r="F5" s="139"/>
      <c r="G5" s="139"/>
      <c r="H5" s="139"/>
    </row>
    <row r="6" spans="1:14" ht="18.75" customHeight="1" thickBot="1" x14ac:dyDescent="0.3">
      <c r="A6" s="74"/>
      <c r="B6" s="74"/>
      <c r="C6" s="74"/>
      <c r="D6" s="74"/>
      <c r="E6" s="79"/>
      <c r="F6" s="80"/>
      <c r="G6" s="81"/>
      <c r="H6" s="82"/>
    </row>
    <row r="7" spans="1:14" ht="0.75" customHeight="1" thickBot="1" x14ac:dyDescent="0.3">
      <c r="A7" s="140" t="s">
        <v>0</v>
      </c>
      <c r="B7" s="141"/>
      <c r="C7" s="141"/>
      <c r="D7" s="141"/>
      <c r="E7" s="142"/>
      <c r="F7" s="11"/>
      <c r="G7" s="12" t="s">
        <v>1</v>
      </c>
      <c r="H7" s="13" t="s">
        <v>1</v>
      </c>
    </row>
    <row r="8" spans="1:14" ht="31.5" customHeight="1" thickBot="1" x14ac:dyDescent="0.3">
      <c r="A8" s="113"/>
      <c r="B8" s="113"/>
      <c r="C8" s="113"/>
      <c r="D8" s="113"/>
      <c r="E8" s="113"/>
      <c r="F8" s="114"/>
      <c r="G8" s="14" t="s">
        <v>129</v>
      </c>
      <c r="H8" s="15" t="s">
        <v>130</v>
      </c>
      <c r="I8" s="15" t="s">
        <v>132</v>
      </c>
      <c r="J8" s="15" t="s">
        <v>134</v>
      </c>
      <c r="K8" s="15" t="s">
        <v>139</v>
      </c>
      <c r="L8" s="15" t="s">
        <v>133</v>
      </c>
      <c r="M8" s="87" t="s">
        <v>2</v>
      </c>
    </row>
    <row r="9" spans="1:14" ht="32.25" thickBot="1" x14ac:dyDescent="0.3">
      <c r="A9" s="16" t="s">
        <v>3</v>
      </c>
      <c r="B9" s="14" t="s">
        <v>131</v>
      </c>
      <c r="C9" s="14" t="s">
        <v>4</v>
      </c>
      <c r="D9" s="14" t="s">
        <v>5</v>
      </c>
      <c r="E9" s="14" t="s">
        <v>6</v>
      </c>
      <c r="F9" s="112" t="s">
        <v>7</v>
      </c>
      <c r="G9" s="17" t="s">
        <v>8</v>
      </c>
      <c r="H9" s="18" t="s">
        <v>8</v>
      </c>
      <c r="I9" s="18" t="s">
        <v>8</v>
      </c>
      <c r="J9" s="18" t="s">
        <v>8</v>
      </c>
      <c r="K9" s="18" t="s">
        <v>8</v>
      </c>
      <c r="L9" s="18" t="s">
        <v>8</v>
      </c>
      <c r="M9" s="115" t="s">
        <v>8</v>
      </c>
    </row>
    <row r="10" spans="1:14" ht="15.75" x14ac:dyDescent="0.25">
      <c r="A10" s="19"/>
      <c r="B10" s="20"/>
      <c r="C10" s="19"/>
      <c r="D10" s="21"/>
      <c r="E10" s="22"/>
      <c r="F10" s="116"/>
      <c r="G10" s="23"/>
      <c r="H10" s="24"/>
      <c r="I10" s="24"/>
      <c r="J10" s="24"/>
      <c r="K10" s="24"/>
      <c r="L10" s="24"/>
      <c r="M10" s="1"/>
    </row>
    <row r="11" spans="1:14" ht="16.5" thickBot="1" x14ac:dyDescent="0.3">
      <c r="A11" s="20">
        <v>2</v>
      </c>
      <c r="B11" s="20">
        <v>1</v>
      </c>
      <c r="C11" s="20"/>
      <c r="D11" s="20"/>
      <c r="E11" s="25"/>
      <c r="F11" s="117" t="s">
        <v>9</v>
      </c>
      <c r="G11" s="26">
        <f>G12+G30+G41+G46</f>
        <v>33459772</v>
      </c>
      <c r="H11" s="26">
        <f>H12+H30+H41+H46</f>
        <v>2131632.61</v>
      </c>
      <c r="I11" s="26">
        <f t="shared" ref="I11:M11" si="0">I12+I30+I41+I46</f>
        <v>2133860.3199999998</v>
      </c>
      <c r="J11" s="26">
        <f t="shared" si="0"/>
        <v>2272610.34</v>
      </c>
      <c r="K11" s="26">
        <f t="shared" si="0"/>
        <v>2409214.63</v>
      </c>
      <c r="L11" s="26">
        <f t="shared" si="0"/>
        <v>8947317.9000000004</v>
      </c>
      <c r="M11" s="118">
        <f t="shared" si="0"/>
        <v>24512454.100000001</v>
      </c>
    </row>
    <row r="12" spans="1:14" ht="16.5" thickBot="1" x14ac:dyDescent="0.3">
      <c r="A12" s="20">
        <v>2</v>
      </c>
      <c r="B12" s="20">
        <v>1</v>
      </c>
      <c r="C12" s="20">
        <v>1</v>
      </c>
      <c r="D12" s="20"/>
      <c r="E12" s="25"/>
      <c r="F12" s="117" t="s">
        <v>10</v>
      </c>
      <c r="G12" s="27">
        <f>G13+G16+G21+G24</f>
        <v>24193156</v>
      </c>
      <c r="H12" s="27">
        <f>H13+H16+H21+H24</f>
        <v>1861012</v>
      </c>
      <c r="I12" s="27">
        <f t="shared" ref="I12:L12" si="1">I13+I16+I21+I24</f>
        <v>1861012</v>
      </c>
      <c r="J12" s="27">
        <f t="shared" si="1"/>
        <v>1861012</v>
      </c>
      <c r="K12" s="27">
        <f t="shared" si="1"/>
        <v>2036012</v>
      </c>
      <c r="L12" s="27">
        <f t="shared" si="1"/>
        <v>7619048</v>
      </c>
      <c r="M12" s="96">
        <f>M13+M16+M21+M24</f>
        <v>16574108</v>
      </c>
    </row>
    <row r="13" spans="1:14" ht="32.25" thickBot="1" x14ac:dyDescent="0.3">
      <c r="A13" s="20">
        <v>2</v>
      </c>
      <c r="B13" s="20">
        <v>1</v>
      </c>
      <c r="C13" s="20">
        <v>1</v>
      </c>
      <c r="D13" s="20">
        <v>1</v>
      </c>
      <c r="E13" s="25"/>
      <c r="F13" s="117" t="s">
        <v>11</v>
      </c>
      <c r="G13" s="71">
        <f>G14</f>
        <v>22332144</v>
      </c>
      <c r="H13" s="29">
        <f>H14</f>
        <v>1861012</v>
      </c>
      <c r="I13" s="29">
        <f t="shared" ref="I13:M13" si="2">I14</f>
        <v>1861012</v>
      </c>
      <c r="J13" s="29">
        <f t="shared" si="2"/>
        <v>1861012</v>
      </c>
      <c r="K13" s="29">
        <f t="shared" si="2"/>
        <v>2036012</v>
      </c>
      <c r="L13" s="29">
        <f t="shared" si="2"/>
        <v>7619048</v>
      </c>
      <c r="M13" s="119">
        <f t="shared" si="2"/>
        <v>14713096</v>
      </c>
    </row>
    <row r="14" spans="1:14" ht="15.75" x14ac:dyDescent="0.25">
      <c r="A14" s="20">
        <v>2</v>
      </c>
      <c r="B14" s="20">
        <v>1</v>
      </c>
      <c r="C14" s="20">
        <v>1</v>
      </c>
      <c r="D14" s="20">
        <v>1</v>
      </c>
      <c r="E14" s="20">
        <v>1</v>
      </c>
      <c r="F14" s="85" t="s">
        <v>12</v>
      </c>
      <c r="G14" s="70">
        <f>6300000+16032144</f>
        <v>22332144</v>
      </c>
      <c r="H14" s="31">
        <f>185000+300000+225000+73200+185000+80000+120000+135000+53812+100000+85000+60000+120000+29000+70000+40000</f>
        <v>1861012</v>
      </c>
      <c r="I14" s="31">
        <f>185000+300000+225000+73200+185000+80000+120000+135000+53812+100000+85000+60000+120000+29000+70000+40000</f>
        <v>1861012</v>
      </c>
      <c r="J14" s="31">
        <f>185000+300000+225000+73200+185000+80000+120000+135000+53812+100000+85000+60000+120000+29000+70000+40000</f>
        <v>1861012</v>
      </c>
      <c r="K14" s="31">
        <f>185000+300000+225000+73200+185000+80000+120000+135000+53812+100000+85000+60000+120000+29000+70000+40000+175000</f>
        <v>2036012</v>
      </c>
      <c r="L14" s="31">
        <f>+H14+I14+J14+K14</f>
        <v>7619048</v>
      </c>
      <c r="M14" s="120">
        <f>+G14-L14</f>
        <v>14713096</v>
      </c>
      <c r="N14" s="4"/>
    </row>
    <row r="15" spans="1:14" ht="15.75" x14ac:dyDescent="0.25">
      <c r="A15" s="20"/>
      <c r="B15" s="20"/>
      <c r="C15" s="20"/>
      <c r="D15" s="20"/>
      <c r="E15" s="19"/>
      <c r="F15" s="85"/>
      <c r="G15" s="77"/>
      <c r="H15" s="32"/>
      <c r="I15" s="32"/>
      <c r="J15" s="32"/>
      <c r="K15" s="32"/>
      <c r="L15" s="88"/>
      <c r="M15" s="89"/>
      <c r="N15" s="4"/>
    </row>
    <row r="16" spans="1:14" ht="36" customHeight="1" thickBot="1" x14ac:dyDescent="0.3">
      <c r="A16" s="20">
        <v>2</v>
      </c>
      <c r="B16" s="20">
        <v>1</v>
      </c>
      <c r="C16" s="20">
        <v>1</v>
      </c>
      <c r="D16" s="20">
        <v>2</v>
      </c>
      <c r="E16" s="25"/>
      <c r="F16" s="83" t="s">
        <v>13</v>
      </c>
      <c r="G16" s="67">
        <f>G17</f>
        <v>0</v>
      </c>
      <c r="H16" s="67">
        <f>H17</f>
        <v>0</v>
      </c>
      <c r="I16" s="67">
        <f t="shared" ref="I16:L16" si="3">I17</f>
        <v>0</v>
      </c>
      <c r="J16" s="67">
        <f t="shared" si="3"/>
        <v>0</v>
      </c>
      <c r="K16" s="67">
        <f t="shared" si="3"/>
        <v>0</v>
      </c>
      <c r="L16" s="67">
        <f t="shared" si="3"/>
        <v>0</v>
      </c>
      <c r="M16" s="118">
        <f t="shared" ref="M16" si="4">M17+M18+M19</f>
        <v>0</v>
      </c>
      <c r="N16" s="4"/>
    </row>
    <row r="17" spans="1:14" ht="31.5" x14ac:dyDescent="0.25">
      <c r="A17" s="20">
        <v>2</v>
      </c>
      <c r="B17" s="20">
        <v>1</v>
      </c>
      <c r="C17" s="20">
        <v>1</v>
      </c>
      <c r="D17" s="20">
        <v>2</v>
      </c>
      <c r="E17" s="20">
        <v>1</v>
      </c>
      <c r="F17" s="84" t="s">
        <v>14</v>
      </c>
      <c r="G17" s="78"/>
      <c r="H17" s="32"/>
      <c r="I17" s="32"/>
      <c r="J17" s="32"/>
      <c r="K17" s="32"/>
      <c r="L17" s="88">
        <f>+H17+I17</f>
        <v>0</v>
      </c>
      <c r="M17" s="89">
        <f>+G17-L17</f>
        <v>0</v>
      </c>
      <c r="N17" s="4"/>
    </row>
    <row r="18" spans="1:14" ht="31.5" x14ac:dyDescent="0.25">
      <c r="A18" s="20">
        <v>2</v>
      </c>
      <c r="B18" s="20">
        <v>1</v>
      </c>
      <c r="C18" s="20">
        <v>1</v>
      </c>
      <c r="D18" s="20">
        <v>2</v>
      </c>
      <c r="E18" s="20">
        <v>2</v>
      </c>
      <c r="F18" s="84" t="s">
        <v>15</v>
      </c>
      <c r="G18" s="77"/>
      <c r="H18" s="32"/>
      <c r="I18" s="32"/>
      <c r="J18" s="32"/>
      <c r="K18" s="32"/>
      <c r="L18" s="88">
        <f>+H18+I18</f>
        <v>0</v>
      </c>
      <c r="M18" s="89"/>
      <c r="N18" s="4"/>
    </row>
    <row r="19" spans="1:14" ht="31.5" x14ac:dyDescent="0.25">
      <c r="A19" s="20">
        <v>2</v>
      </c>
      <c r="B19" s="20">
        <v>1</v>
      </c>
      <c r="C19" s="20">
        <v>1</v>
      </c>
      <c r="D19" s="20">
        <v>2</v>
      </c>
      <c r="E19" s="20">
        <v>5</v>
      </c>
      <c r="F19" s="84" t="s">
        <v>16</v>
      </c>
      <c r="G19" s="47"/>
      <c r="H19" s="37"/>
      <c r="I19" s="37"/>
      <c r="J19" s="37"/>
      <c r="K19" s="37"/>
      <c r="L19" s="88">
        <f>+H19+I19</f>
        <v>0</v>
      </c>
      <c r="M19" s="90">
        <f>-G19-L19</f>
        <v>0</v>
      </c>
      <c r="N19" s="4"/>
    </row>
    <row r="20" spans="1:14" ht="15.75" x14ac:dyDescent="0.25">
      <c r="A20" s="20"/>
      <c r="B20" s="20"/>
      <c r="C20" s="20"/>
      <c r="D20" s="20"/>
      <c r="E20" s="20"/>
      <c r="F20" s="84"/>
      <c r="G20" s="47"/>
      <c r="H20" s="37" t="s">
        <v>17</v>
      </c>
      <c r="I20" s="37" t="s">
        <v>17</v>
      </c>
      <c r="J20" s="37"/>
      <c r="K20" s="37"/>
      <c r="L20" s="88"/>
      <c r="M20" s="91"/>
      <c r="N20" s="4"/>
    </row>
    <row r="21" spans="1:14" ht="16.5" thickBot="1" x14ac:dyDescent="0.3">
      <c r="A21" s="20">
        <v>2</v>
      </c>
      <c r="B21" s="20">
        <v>1</v>
      </c>
      <c r="C21" s="20">
        <v>1</v>
      </c>
      <c r="D21" s="20">
        <v>4</v>
      </c>
      <c r="E21" s="25"/>
      <c r="F21" s="83" t="s">
        <v>18</v>
      </c>
      <c r="G21" s="67">
        <f>G22</f>
        <v>1861012</v>
      </c>
      <c r="H21" s="67">
        <f>H22</f>
        <v>0</v>
      </c>
      <c r="I21" s="67">
        <f t="shared" ref="I21:M21" si="5">I22</f>
        <v>0</v>
      </c>
      <c r="J21" s="67">
        <f t="shared" si="5"/>
        <v>0</v>
      </c>
      <c r="K21" s="67">
        <f t="shared" si="5"/>
        <v>0</v>
      </c>
      <c r="L21" s="67">
        <f t="shared" si="5"/>
        <v>0</v>
      </c>
      <c r="M21" s="118">
        <f t="shared" si="5"/>
        <v>1861012</v>
      </c>
      <c r="N21" s="4"/>
    </row>
    <row r="22" spans="1:14" ht="15.75" x14ac:dyDescent="0.25">
      <c r="A22" s="20">
        <v>2</v>
      </c>
      <c r="B22" s="20">
        <v>1</v>
      </c>
      <c r="C22" s="20">
        <v>1</v>
      </c>
      <c r="D22" s="20">
        <v>4</v>
      </c>
      <c r="E22" s="20">
        <v>1</v>
      </c>
      <c r="F22" s="84" t="s">
        <v>19</v>
      </c>
      <c r="G22" s="78">
        <v>1861012</v>
      </c>
      <c r="H22" s="36">
        <v>0</v>
      </c>
      <c r="I22" s="36">
        <v>0</v>
      </c>
      <c r="J22" s="36"/>
      <c r="K22" s="36"/>
      <c r="L22" s="92">
        <f>+H22+I22</f>
        <v>0</v>
      </c>
      <c r="M22" s="93">
        <f>+G22-L22</f>
        <v>1861012</v>
      </c>
      <c r="N22" s="4"/>
    </row>
    <row r="23" spans="1:14" ht="15.75" x14ac:dyDescent="0.25">
      <c r="A23" s="20"/>
      <c r="B23" s="20"/>
      <c r="C23" s="20"/>
      <c r="D23" s="20"/>
      <c r="E23" s="20"/>
      <c r="F23" s="84"/>
      <c r="G23" s="47"/>
      <c r="H23" s="37"/>
      <c r="I23" s="37"/>
      <c r="J23" s="37"/>
      <c r="K23" s="37"/>
      <c r="L23" s="94"/>
      <c r="M23" s="91"/>
      <c r="N23" s="4"/>
    </row>
    <row r="24" spans="1:14" ht="16.5" thickBot="1" x14ac:dyDescent="0.3">
      <c r="A24" s="20">
        <v>2</v>
      </c>
      <c r="B24" s="20">
        <v>1</v>
      </c>
      <c r="C24" s="20">
        <v>1</v>
      </c>
      <c r="D24" s="20">
        <v>5</v>
      </c>
      <c r="E24" s="25"/>
      <c r="F24" s="83" t="s">
        <v>20</v>
      </c>
      <c r="G24" s="46">
        <f>G25+G28</f>
        <v>0</v>
      </c>
      <c r="H24" s="46">
        <f>H25+H28</f>
        <v>0</v>
      </c>
      <c r="I24" s="46">
        <f t="shared" ref="I24:L24" si="6">I25+I28</f>
        <v>0</v>
      </c>
      <c r="J24" s="46">
        <f t="shared" si="6"/>
        <v>0</v>
      </c>
      <c r="K24" s="46">
        <f t="shared" si="6"/>
        <v>0</v>
      </c>
      <c r="L24" s="46">
        <f t="shared" si="6"/>
        <v>0</v>
      </c>
      <c r="M24" s="121">
        <f t="shared" ref="M24" si="7">M25+M28+M26+M27</f>
        <v>0</v>
      </c>
      <c r="N24" s="4"/>
    </row>
    <row r="25" spans="1:14" ht="15.75" x14ac:dyDescent="0.25">
      <c r="A25" s="20">
        <v>2</v>
      </c>
      <c r="B25" s="20">
        <v>1</v>
      </c>
      <c r="C25" s="20">
        <v>1</v>
      </c>
      <c r="D25" s="20">
        <v>5</v>
      </c>
      <c r="E25" s="20">
        <v>1</v>
      </c>
      <c r="F25" s="84" t="s">
        <v>20</v>
      </c>
      <c r="G25" s="47"/>
      <c r="H25" s="36">
        <v>0</v>
      </c>
      <c r="I25" s="36">
        <v>0</v>
      </c>
      <c r="J25" s="37"/>
      <c r="K25" s="37"/>
      <c r="L25" s="94">
        <f>+H25+I25</f>
        <v>0</v>
      </c>
      <c r="M25" s="90">
        <f>+G25-L25</f>
        <v>0</v>
      </c>
      <c r="N25" s="4"/>
    </row>
    <row r="26" spans="1:14" ht="31.5" x14ac:dyDescent="0.25">
      <c r="A26" s="20">
        <v>2</v>
      </c>
      <c r="B26" s="20">
        <v>1</v>
      </c>
      <c r="C26" s="20">
        <v>1</v>
      </c>
      <c r="D26" s="20">
        <v>5</v>
      </c>
      <c r="E26" s="20">
        <v>2</v>
      </c>
      <c r="F26" s="84" t="s">
        <v>21</v>
      </c>
      <c r="G26" s="47"/>
      <c r="H26" s="37">
        <v>0</v>
      </c>
      <c r="I26" s="37">
        <v>0</v>
      </c>
      <c r="J26" s="37"/>
      <c r="K26" s="37"/>
      <c r="L26" s="94">
        <f>+H26+I26</f>
        <v>0</v>
      </c>
      <c r="M26" s="91">
        <f>-G26-L26</f>
        <v>0</v>
      </c>
      <c r="N26" s="4"/>
    </row>
    <row r="27" spans="1:14" ht="31.5" x14ac:dyDescent="0.25">
      <c r="A27" s="20">
        <v>2</v>
      </c>
      <c r="B27" s="20">
        <v>1</v>
      </c>
      <c r="C27" s="20">
        <v>1</v>
      </c>
      <c r="D27" s="20">
        <v>5</v>
      </c>
      <c r="E27" s="20">
        <v>3</v>
      </c>
      <c r="F27" s="84" t="s">
        <v>22</v>
      </c>
      <c r="G27" s="47"/>
      <c r="H27" s="37"/>
      <c r="I27" s="37"/>
      <c r="J27" s="37"/>
      <c r="K27" s="37"/>
      <c r="L27" s="94">
        <f>+H27+I27</f>
        <v>0</v>
      </c>
      <c r="M27" s="91">
        <f>-G27-L27</f>
        <v>0</v>
      </c>
      <c r="N27" s="4"/>
    </row>
    <row r="28" spans="1:14" ht="31.5" x14ac:dyDescent="0.25">
      <c r="A28" s="20">
        <v>2</v>
      </c>
      <c r="B28" s="20">
        <v>1</v>
      </c>
      <c r="C28" s="20">
        <v>1</v>
      </c>
      <c r="D28" s="20">
        <v>5</v>
      </c>
      <c r="E28" s="20">
        <v>4</v>
      </c>
      <c r="F28" s="84" t="s">
        <v>23</v>
      </c>
      <c r="G28" s="47"/>
      <c r="H28" s="37"/>
      <c r="I28" s="37"/>
      <c r="J28" s="37"/>
      <c r="K28" s="37"/>
      <c r="L28" s="94">
        <f>+H28+I28</f>
        <v>0</v>
      </c>
      <c r="M28" s="91"/>
      <c r="N28" s="4"/>
    </row>
    <row r="29" spans="1:14" ht="15.75" x14ac:dyDescent="0.25">
      <c r="A29" s="20"/>
      <c r="B29" s="20"/>
      <c r="C29" s="20"/>
      <c r="D29" s="20"/>
      <c r="E29" s="20"/>
      <c r="F29" s="84"/>
      <c r="G29" s="47"/>
      <c r="H29" s="37"/>
      <c r="I29" s="37"/>
      <c r="J29" s="37"/>
      <c r="K29" s="37"/>
      <c r="L29" s="94"/>
      <c r="M29" s="91"/>
      <c r="N29" s="4"/>
    </row>
    <row r="30" spans="1:14" ht="15.75" x14ac:dyDescent="0.25">
      <c r="A30" s="20">
        <v>2</v>
      </c>
      <c r="B30" s="20">
        <v>1</v>
      </c>
      <c r="C30" s="20">
        <v>2</v>
      </c>
      <c r="D30" s="20"/>
      <c r="E30" s="20"/>
      <c r="F30" s="83" t="s">
        <v>24</v>
      </c>
      <c r="G30" s="86">
        <f>G31</f>
        <v>5992436</v>
      </c>
      <c r="H30" s="72">
        <f>H31</f>
        <v>0</v>
      </c>
      <c r="I30" s="72">
        <f t="shared" ref="I30:M30" si="8">I31</f>
        <v>0</v>
      </c>
      <c r="J30" s="72">
        <f t="shared" si="8"/>
        <v>138750</v>
      </c>
      <c r="K30" s="72">
        <f t="shared" si="8"/>
        <v>74500</v>
      </c>
      <c r="L30" s="72">
        <f t="shared" si="8"/>
        <v>213250</v>
      </c>
      <c r="M30" s="122">
        <f t="shared" si="8"/>
        <v>5779186</v>
      </c>
      <c r="N30" s="4"/>
    </row>
    <row r="31" spans="1:14" ht="16.5" thickBot="1" x14ac:dyDescent="0.3">
      <c r="A31" s="20">
        <v>2</v>
      </c>
      <c r="B31" s="20">
        <v>1</v>
      </c>
      <c r="C31" s="20">
        <v>2</v>
      </c>
      <c r="D31" s="20">
        <v>2</v>
      </c>
      <c r="E31" s="20"/>
      <c r="F31" s="83" t="s">
        <v>25</v>
      </c>
      <c r="G31" s="67">
        <f>+G33+G34+G35+G37</f>
        <v>5992436</v>
      </c>
      <c r="H31" s="26">
        <f>+H33+H34+H35+H37</f>
        <v>0</v>
      </c>
      <c r="I31" s="26">
        <f t="shared" ref="I31" si="9">+I33+I34+I35+I37</f>
        <v>0</v>
      </c>
      <c r="J31" s="26">
        <f>+J33+J34+J35+J37</f>
        <v>138750</v>
      </c>
      <c r="K31" s="26">
        <f>+K33+K34+K35+K37</f>
        <v>74500</v>
      </c>
      <c r="L31" s="26">
        <f>+L33+L34+L35+L37</f>
        <v>213250</v>
      </c>
      <c r="M31" s="118">
        <f t="shared" ref="M31" si="10">+M33+M34+M35+M37</f>
        <v>5779186</v>
      </c>
      <c r="N31" s="4"/>
    </row>
    <row r="32" spans="1:14" ht="31.5" x14ac:dyDescent="0.25">
      <c r="A32" s="20">
        <v>2</v>
      </c>
      <c r="B32" s="20">
        <v>1</v>
      </c>
      <c r="C32" s="20">
        <v>2</v>
      </c>
      <c r="D32" s="20">
        <v>2</v>
      </c>
      <c r="E32" s="20">
        <v>2</v>
      </c>
      <c r="F32" s="83" t="s">
        <v>26</v>
      </c>
      <c r="G32" s="69"/>
      <c r="H32" s="27">
        <v>0</v>
      </c>
      <c r="I32" s="27">
        <v>0</v>
      </c>
      <c r="J32" s="27"/>
      <c r="K32" s="27"/>
      <c r="L32" s="95">
        <f>+H32+I32</f>
        <v>0</v>
      </c>
      <c r="M32" s="96">
        <f>+G32-L32</f>
        <v>0</v>
      </c>
      <c r="N32" s="4"/>
    </row>
    <row r="33" spans="1:14" ht="15.75" x14ac:dyDescent="0.25">
      <c r="A33" s="20">
        <v>2</v>
      </c>
      <c r="B33" s="20">
        <v>1</v>
      </c>
      <c r="C33" s="20">
        <v>2</v>
      </c>
      <c r="D33" s="20">
        <v>2</v>
      </c>
      <c r="E33" s="20">
        <v>4</v>
      </c>
      <c r="F33" s="84" t="s">
        <v>27</v>
      </c>
      <c r="G33" s="47">
        <v>0</v>
      </c>
      <c r="H33" s="37">
        <v>0</v>
      </c>
      <c r="I33" s="37">
        <v>0</v>
      </c>
      <c r="J33" s="37"/>
      <c r="K33" s="37"/>
      <c r="L33" s="95">
        <f>+H33+I33</f>
        <v>0</v>
      </c>
      <c r="M33" s="91">
        <f>+G33-L33</f>
        <v>0</v>
      </c>
      <c r="N33" s="4"/>
    </row>
    <row r="34" spans="1:14" ht="31.5" x14ac:dyDescent="0.25">
      <c r="A34" s="20">
        <v>2</v>
      </c>
      <c r="B34" s="20">
        <v>1</v>
      </c>
      <c r="C34" s="20">
        <v>2</v>
      </c>
      <c r="D34" s="20">
        <v>2</v>
      </c>
      <c r="E34" s="20">
        <v>10</v>
      </c>
      <c r="F34" s="84" t="s">
        <v>124</v>
      </c>
      <c r="G34" s="47">
        <v>1362012</v>
      </c>
      <c r="H34" s="37"/>
      <c r="I34" s="37"/>
      <c r="J34" s="37"/>
      <c r="K34" s="37"/>
      <c r="L34" s="95">
        <f>+H34+I34</f>
        <v>0</v>
      </c>
      <c r="M34" s="91">
        <f>+G34-L34</f>
        <v>1362012</v>
      </c>
      <c r="N34" s="4"/>
    </row>
    <row r="35" spans="1:14" ht="31.5" x14ac:dyDescent="0.25">
      <c r="A35" s="20">
        <v>2</v>
      </c>
      <c r="B35" s="20">
        <v>1</v>
      </c>
      <c r="C35" s="20">
        <v>2</v>
      </c>
      <c r="D35" s="20">
        <v>2</v>
      </c>
      <c r="E35" s="20">
        <v>15</v>
      </c>
      <c r="F35" s="84" t="s">
        <v>28</v>
      </c>
      <c r="G35" s="47">
        <v>2847012</v>
      </c>
      <c r="H35" s="37"/>
      <c r="I35" s="37"/>
      <c r="J35" s="37"/>
      <c r="K35" s="37"/>
      <c r="L35" s="95">
        <f>+H35+I35</f>
        <v>0</v>
      </c>
      <c r="M35" s="91">
        <f>+G35-L35</f>
        <v>2847012</v>
      </c>
      <c r="N35" s="4"/>
    </row>
    <row r="36" spans="1:14" ht="16.5" thickBot="1" x14ac:dyDescent="0.3">
      <c r="A36" s="20"/>
      <c r="B36" s="20"/>
      <c r="C36" s="20"/>
      <c r="D36" s="20"/>
      <c r="E36" s="20"/>
      <c r="F36" s="84"/>
      <c r="G36" s="47"/>
      <c r="H36" s="37"/>
      <c r="I36" s="37"/>
      <c r="J36" s="37"/>
      <c r="K36" s="37"/>
      <c r="L36" s="94"/>
      <c r="M36" s="91"/>
      <c r="N36" s="4"/>
    </row>
    <row r="37" spans="1:14" ht="32.25" thickBot="1" x14ac:dyDescent="0.3">
      <c r="A37" s="20">
        <v>2</v>
      </c>
      <c r="B37" s="20">
        <v>1</v>
      </c>
      <c r="C37" s="20">
        <v>3</v>
      </c>
      <c r="D37" s="20">
        <v>7</v>
      </c>
      <c r="E37" s="20"/>
      <c r="F37" s="83" t="s">
        <v>125</v>
      </c>
      <c r="G37" s="68">
        <f>+G38+G39</f>
        <v>1783412</v>
      </c>
      <c r="H37" s="39">
        <f>+H38+H39</f>
        <v>0</v>
      </c>
      <c r="I37" s="39">
        <f t="shared" ref="I37" si="11">+I38+I39</f>
        <v>0</v>
      </c>
      <c r="J37" s="39">
        <f>+J38+J39</f>
        <v>138750</v>
      </c>
      <c r="K37" s="39">
        <f>+K38+K39</f>
        <v>74500</v>
      </c>
      <c r="L37" s="39">
        <f>+L38+L39</f>
        <v>213250</v>
      </c>
      <c r="M37" s="123">
        <f>+M38+M39</f>
        <v>1570162</v>
      </c>
      <c r="N37" s="4"/>
    </row>
    <row r="38" spans="1:14" ht="15.75" x14ac:dyDescent="0.25">
      <c r="A38" s="20">
        <v>2</v>
      </c>
      <c r="B38" s="20">
        <v>1</v>
      </c>
      <c r="C38" s="20">
        <v>3</v>
      </c>
      <c r="D38" s="20">
        <v>7</v>
      </c>
      <c r="E38" s="20">
        <v>2</v>
      </c>
      <c r="F38" s="84" t="s">
        <v>126</v>
      </c>
      <c r="G38" s="47">
        <v>190000</v>
      </c>
      <c r="H38" s="37"/>
      <c r="I38" s="37"/>
      <c r="J38" s="37"/>
      <c r="K38" s="37"/>
      <c r="L38" s="94">
        <f>+H38+I38+J38+K38</f>
        <v>0</v>
      </c>
      <c r="M38" s="91">
        <f>+G38-L38</f>
        <v>190000</v>
      </c>
      <c r="N38" s="4"/>
    </row>
    <row r="39" spans="1:14" ht="15.75" x14ac:dyDescent="0.25">
      <c r="A39" s="20">
        <v>2</v>
      </c>
      <c r="B39" s="20">
        <v>1</v>
      </c>
      <c r="C39" s="20">
        <v>3</v>
      </c>
      <c r="D39" s="20">
        <v>7</v>
      </c>
      <c r="E39" s="20">
        <v>4</v>
      </c>
      <c r="F39" s="84" t="s">
        <v>127</v>
      </c>
      <c r="G39" s="47">
        <v>1593412</v>
      </c>
      <c r="H39" s="37"/>
      <c r="I39" s="37"/>
      <c r="J39" s="37">
        <f>63750+75000</f>
        <v>138750</v>
      </c>
      <c r="K39" s="37">
        <f>60000+14500</f>
        <v>74500</v>
      </c>
      <c r="L39" s="94">
        <f>+H39+I39+J39+K39</f>
        <v>213250</v>
      </c>
      <c r="M39" s="91">
        <f>+G39-L39</f>
        <v>1380162</v>
      </c>
      <c r="N39" s="4"/>
    </row>
    <row r="40" spans="1:14" ht="15.75" x14ac:dyDescent="0.25">
      <c r="A40" s="20"/>
      <c r="B40" s="20"/>
      <c r="C40" s="20"/>
      <c r="D40" s="20"/>
      <c r="E40" s="20"/>
      <c r="F40" s="84"/>
      <c r="G40" s="47"/>
      <c r="H40" s="37"/>
      <c r="I40" s="37"/>
      <c r="J40" s="37"/>
      <c r="K40" s="37"/>
      <c r="L40" s="94">
        <f>+H40+I40</f>
        <v>0</v>
      </c>
      <c r="M40" s="91"/>
      <c r="N40" s="4"/>
    </row>
    <row r="41" spans="1:14" s="2" customFormat="1" ht="32.25" thickBot="1" x14ac:dyDescent="0.3">
      <c r="A41" s="20">
        <v>2</v>
      </c>
      <c r="B41" s="20">
        <v>1</v>
      </c>
      <c r="C41" s="20">
        <v>3</v>
      </c>
      <c r="D41" s="20"/>
      <c r="E41" s="20"/>
      <c r="F41" s="83" t="s">
        <v>29</v>
      </c>
      <c r="G41" s="47"/>
      <c r="H41" s="37"/>
      <c r="I41" s="37"/>
      <c r="J41" s="37"/>
      <c r="K41" s="37"/>
      <c r="L41" s="94"/>
      <c r="M41" s="96">
        <f>SUM(M42:M44)</f>
        <v>0</v>
      </c>
      <c r="N41" s="97"/>
    </row>
    <row r="42" spans="1:14" ht="16.5" thickBot="1" x14ac:dyDescent="0.3">
      <c r="A42" s="20">
        <v>2</v>
      </c>
      <c r="B42" s="20">
        <v>1</v>
      </c>
      <c r="C42" s="20">
        <v>3</v>
      </c>
      <c r="D42" s="20">
        <v>1</v>
      </c>
      <c r="E42" s="25"/>
      <c r="F42" s="83" t="s">
        <v>30</v>
      </c>
      <c r="G42" s="71">
        <f>G43+G44</f>
        <v>0</v>
      </c>
      <c r="H42" s="29">
        <f>H43+H44</f>
        <v>0</v>
      </c>
      <c r="I42" s="29">
        <f t="shared" ref="I42:M42" si="12">I43+I44</f>
        <v>0</v>
      </c>
      <c r="J42" s="29">
        <f t="shared" si="12"/>
        <v>0</v>
      </c>
      <c r="K42" s="29">
        <f t="shared" si="12"/>
        <v>0</v>
      </c>
      <c r="L42" s="29">
        <f t="shared" si="12"/>
        <v>0</v>
      </c>
      <c r="M42" s="119">
        <f t="shared" si="12"/>
        <v>0</v>
      </c>
      <c r="N42" s="4"/>
    </row>
    <row r="43" spans="1:14" ht="15.75" x14ac:dyDescent="0.25">
      <c r="A43" s="20">
        <v>2</v>
      </c>
      <c r="B43" s="20">
        <v>1</v>
      </c>
      <c r="C43" s="20">
        <v>3</v>
      </c>
      <c r="D43" s="20">
        <v>1</v>
      </c>
      <c r="E43" s="20">
        <v>1</v>
      </c>
      <c r="F43" s="84" t="s">
        <v>31</v>
      </c>
      <c r="G43" s="78"/>
      <c r="H43" s="37">
        <f>G43*12</f>
        <v>0</v>
      </c>
      <c r="I43" s="37">
        <f t="shared" ref="I43:K44" si="13">H43*12</f>
        <v>0</v>
      </c>
      <c r="J43" s="37">
        <f t="shared" si="13"/>
        <v>0</v>
      </c>
      <c r="K43" s="37">
        <f t="shared" si="13"/>
        <v>0</v>
      </c>
      <c r="L43" s="94">
        <f>+H43+I43+J43+K43</f>
        <v>0</v>
      </c>
      <c r="M43" s="91">
        <f>+G43-L43</f>
        <v>0</v>
      </c>
      <c r="N43" s="4"/>
    </row>
    <row r="44" spans="1:14" ht="15.75" x14ac:dyDescent="0.25">
      <c r="A44" s="20">
        <v>2</v>
      </c>
      <c r="B44" s="20">
        <v>1</v>
      </c>
      <c r="C44" s="20">
        <v>3</v>
      </c>
      <c r="D44" s="20">
        <v>1</v>
      </c>
      <c r="E44" s="20">
        <v>2</v>
      </c>
      <c r="F44" s="84" t="s">
        <v>32</v>
      </c>
      <c r="G44" s="47"/>
      <c r="H44" s="37">
        <f>G44*12</f>
        <v>0</v>
      </c>
      <c r="I44" s="37">
        <f t="shared" si="13"/>
        <v>0</v>
      </c>
      <c r="J44" s="37">
        <f t="shared" si="13"/>
        <v>0</v>
      </c>
      <c r="K44" s="37">
        <f t="shared" si="13"/>
        <v>0</v>
      </c>
      <c r="L44" s="94">
        <f>+H44+I44+J44+K44</f>
        <v>0</v>
      </c>
      <c r="M44" s="91">
        <f>+G44-L44</f>
        <v>0</v>
      </c>
      <c r="N44" s="4"/>
    </row>
    <row r="45" spans="1:14" ht="15.75" x14ac:dyDescent="0.25">
      <c r="A45" s="20"/>
      <c r="B45" s="20"/>
      <c r="C45" s="20"/>
      <c r="D45" s="20"/>
      <c r="E45" s="20"/>
      <c r="F45" s="84"/>
      <c r="G45" s="47"/>
      <c r="H45" s="37"/>
      <c r="I45" s="37"/>
      <c r="J45" s="37"/>
      <c r="K45" s="37"/>
      <c r="L45" s="94"/>
      <c r="M45" s="91"/>
      <c r="N45" s="4"/>
    </row>
    <row r="46" spans="1:14" ht="48" thickBot="1" x14ac:dyDescent="0.3">
      <c r="A46" s="20">
        <v>2</v>
      </c>
      <c r="B46" s="41">
        <v>1</v>
      </c>
      <c r="C46" s="41">
        <v>5</v>
      </c>
      <c r="D46" s="25"/>
      <c r="E46" s="25"/>
      <c r="F46" s="83" t="s">
        <v>33</v>
      </c>
      <c r="G46" s="67">
        <f>SUM(G47:G49)</f>
        <v>3274180</v>
      </c>
      <c r="H46" s="27">
        <f>SUM(H47:H49)</f>
        <v>270620.61000000004</v>
      </c>
      <c r="I46" s="27">
        <f t="shared" ref="I46:M46" si="14">SUM(I47:I49)</f>
        <v>272848.32</v>
      </c>
      <c r="J46" s="27">
        <f t="shared" si="14"/>
        <v>272848.34000000003</v>
      </c>
      <c r="K46" s="27">
        <f t="shared" si="14"/>
        <v>298702.62999999995</v>
      </c>
      <c r="L46" s="27">
        <f t="shared" si="14"/>
        <v>1115019.9000000001</v>
      </c>
      <c r="M46" s="96">
        <f t="shared" si="14"/>
        <v>2159160.1</v>
      </c>
      <c r="N46" s="4"/>
    </row>
    <row r="47" spans="1:14" ht="31.5" x14ac:dyDescent="0.25">
      <c r="A47" s="20">
        <v>2</v>
      </c>
      <c r="B47" s="20">
        <v>1</v>
      </c>
      <c r="C47" s="20">
        <v>5</v>
      </c>
      <c r="D47" s="20">
        <v>1</v>
      </c>
      <c r="E47" s="20"/>
      <c r="F47" s="85" t="s">
        <v>34</v>
      </c>
      <c r="G47" s="78">
        <v>1525690</v>
      </c>
      <c r="H47" s="36">
        <v>125458.11</v>
      </c>
      <c r="I47" s="36">
        <v>127140.86</v>
      </c>
      <c r="J47" s="36">
        <v>127140.86</v>
      </c>
      <c r="K47" s="36">
        <v>139548.35999999999</v>
      </c>
      <c r="L47" s="92">
        <f>+H47+I47+J47+K47</f>
        <v>519288.19</v>
      </c>
      <c r="M47" s="93">
        <f>+G47-L47</f>
        <v>1006401.81</v>
      </c>
      <c r="N47" s="4"/>
    </row>
    <row r="48" spans="1:14" ht="31.5" x14ac:dyDescent="0.25">
      <c r="A48" s="20">
        <v>2</v>
      </c>
      <c r="B48" s="20">
        <v>1</v>
      </c>
      <c r="C48" s="20">
        <v>5</v>
      </c>
      <c r="D48" s="20">
        <v>2</v>
      </c>
      <c r="E48" s="20"/>
      <c r="F48" s="85" t="s">
        <v>35</v>
      </c>
      <c r="G48" s="47">
        <v>1585582</v>
      </c>
      <c r="H48" s="37">
        <v>132131.85</v>
      </c>
      <c r="I48" s="37">
        <v>132131.85</v>
      </c>
      <c r="J48" s="37">
        <v>132131.85</v>
      </c>
      <c r="K48" s="37">
        <v>144556.85</v>
      </c>
      <c r="L48" s="94">
        <f>+H48+I48+J48+K48</f>
        <v>540952.4</v>
      </c>
      <c r="M48" s="90">
        <f>+G48-L48</f>
        <v>1044629.6</v>
      </c>
      <c r="N48" s="4"/>
    </row>
    <row r="49" spans="1:14" ht="31.5" x14ac:dyDescent="0.25">
      <c r="A49" s="20">
        <v>2</v>
      </c>
      <c r="B49" s="20">
        <v>1</v>
      </c>
      <c r="C49" s="20">
        <v>5</v>
      </c>
      <c r="D49" s="20">
        <v>3</v>
      </c>
      <c r="E49" s="20"/>
      <c r="F49" s="84" t="s">
        <v>36</v>
      </c>
      <c r="G49" s="47">
        <v>162908</v>
      </c>
      <c r="H49" s="37">
        <v>13030.65</v>
      </c>
      <c r="I49" s="37">
        <v>13575.61</v>
      </c>
      <c r="J49" s="37">
        <v>13575.63</v>
      </c>
      <c r="K49" s="37">
        <v>14597.42</v>
      </c>
      <c r="L49" s="94">
        <f>+H49+I49+J49+K49</f>
        <v>54779.31</v>
      </c>
      <c r="M49" s="90">
        <f>+G49-L49</f>
        <v>108128.69</v>
      </c>
      <c r="N49" s="4"/>
    </row>
    <row r="50" spans="1:14" ht="15.75" x14ac:dyDescent="0.25">
      <c r="A50" s="20"/>
      <c r="B50" s="20"/>
      <c r="C50" s="20"/>
      <c r="D50" s="20"/>
      <c r="E50" s="20"/>
      <c r="F50" s="84"/>
      <c r="G50" s="47"/>
      <c r="H50" s="37"/>
      <c r="I50" s="37"/>
      <c r="J50" s="37"/>
      <c r="K50" s="37"/>
      <c r="L50" s="94"/>
      <c r="M50" s="91"/>
      <c r="N50" s="4"/>
    </row>
    <row r="51" spans="1:14" ht="32.25" thickBot="1" x14ac:dyDescent="0.3">
      <c r="A51" s="20">
        <v>2</v>
      </c>
      <c r="B51" s="20">
        <v>2</v>
      </c>
      <c r="C51" s="20"/>
      <c r="D51" s="20"/>
      <c r="E51" s="25"/>
      <c r="F51" s="117" t="s">
        <v>37</v>
      </c>
      <c r="G51" s="67">
        <f>G52+G60+G64+G68+G72+G84+G92+G80+G109</f>
        <v>54583728</v>
      </c>
      <c r="H51" s="33">
        <f>H52+H60+H64+H68+H72+H84+H92+H80+H109</f>
        <v>2296409.2599999998</v>
      </c>
      <c r="I51" s="33">
        <f t="shared" ref="I51:M51" si="15">I52+I60+I64+I68+I72+I84+I92+I80+I109</f>
        <v>3608786.8299999996</v>
      </c>
      <c r="J51" s="33">
        <f t="shared" si="15"/>
        <v>2348049.6800000002</v>
      </c>
      <c r="K51" s="33">
        <f t="shared" si="15"/>
        <v>4196437.34</v>
      </c>
      <c r="L51" s="33">
        <f t="shared" si="15"/>
        <v>12449683.110000001</v>
      </c>
      <c r="M51" s="99">
        <f t="shared" si="15"/>
        <v>42134044.890000001</v>
      </c>
      <c r="N51" s="4"/>
    </row>
    <row r="52" spans="1:14" ht="16.5" thickBot="1" x14ac:dyDescent="0.3">
      <c r="A52" s="20">
        <v>2</v>
      </c>
      <c r="B52" s="20">
        <v>2</v>
      </c>
      <c r="C52" s="20">
        <v>1</v>
      </c>
      <c r="D52" s="20"/>
      <c r="E52" s="25"/>
      <c r="F52" s="117" t="s">
        <v>38</v>
      </c>
      <c r="G52" s="68">
        <f>G53+G54+G55+G57</f>
        <v>4004099</v>
      </c>
      <c r="H52" s="27">
        <f>H53+H54+H55+H57</f>
        <v>149842.91999999998</v>
      </c>
      <c r="I52" s="27">
        <f t="shared" ref="I52:K52" si="16">I53+I54+I55+I57</f>
        <v>152663.82</v>
      </c>
      <c r="J52" s="27">
        <f t="shared" si="16"/>
        <v>152411.78</v>
      </c>
      <c r="K52" s="27">
        <f t="shared" si="16"/>
        <v>158603.18</v>
      </c>
      <c r="L52" s="27">
        <f>L53+L54+L55+L57</f>
        <v>613521.69999999995</v>
      </c>
      <c r="M52" s="96">
        <f t="shared" ref="M52" si="17">M53+M54+M55+M57</f>
        <v>3390577.3</v>
      </c>
      <c r="N52" s="4"/>
    </row>
    <row r="53" spans="1:14" ht="15.75" x14ac:dyDescent="0.25">
      <c r="A53" s="20">
        <v>2</v>
      </c>
      <c r="B53" s="20">
        <v>2</v>
      </c>
      <c r="C53" s="20">
        <v>1</v>
      </c>
      <c r="D53" s="20">
        <v>3</v>
      </c>
      <c r="E53" s="20"/>
      <c r="F53" s="85" t="s">
        <v>39</v>
      </c>
      <c r="G53" s="78">
        <v>420000</v>
      </c>
      <c r="H53" s="36">
        <f>37681.08+22223.64</f>
        <v>59904.72</v>
      </c>
      <c r="I53" s="36">
        <f>37862.5+22342.8</f>
        <v>60205.3</v>
      </c>
      <c r="J53" s="36">
        <f>22424.5+37862.5</f>
        <v>60287</v>
      </c>
      <c r="K53" s="36">
        <f>37862.5+22328.96</f>
        <v>60191.46</v>
      </c>
      <c r="L53" s="92">
        <f>+H53+I53+J53+K53</f>
        <v>240588.48</v>
      </c>
      <c r="M53" s="93">
        <f>+G53-L53</f>
        <v>179411.52</v>
      </c>
      <c r="N53" s="4"/>
    </row>
    <row r="54" spans="1:14" ht="15.75" x14ac:dyDescent="0.25">
      <c r="A54" s="20">
        <v>2</v>
      </c>
      <c r="B54" s="20">
        <v>2</v>
      </c>
      <c r="C54" s="20">
        <v>1</v>
      </c>
      <c r="D54" s="20">
        <v>4</v>
      </c>
      <c r="E54" s="20"/>
      <c r="F54" s="85" t="s">
        <v>40</v>
      </c>
      <c r="G54" s="47">
        <v>288000</v>
      </c>
      <c r="H54" s="37"/>
      <c r="I54" s="37"/>
      <c r="J54" s="37"/>
      <c r="K54" s="37"/>
      <c r="L54" s="94">
        <f>+H54+I54+J54+K54</f>
        <v>0</v>
      </c>
      <c r="M54" s="91">
        <f>+G54-L54</f>
        <v>288000</v>
      </c>
      <c r="N54" s="4"/>
    </row>
    <row r="55" spans="1:14" ht="31.5" x14ac:dyDescent="0.25">
      <c r="A55" s="20">
        <v>2</v>
      </c>
      <c r="B55" s="20">
        <v>2</v>
      </c>
      <c r="C55" s="20">
        <v>1</v>
      </c>
      <c r="D55" s="20">
        <v>5</v>
      </c>
      <c r="E55" s="20"/>
      <c r="F55" s="85" t="s">
        <v>41</v>
      </c>
      <c r="G55" s="47">
        <v>2336099</v>
      </c>
      <c r="H55" s="37">
        <f>22765.76+8008.44</f>
        <v>30774.199999999997</v>
      </c>
      <c r="I55" s="37">
        <f>8047+22803.1</f>
        <v>30850.1</v>
      </c>
      <c r="J55" s="37">
        <f>8047+22803.1</f>
        <v>30850.1</v>
      </c>
      <c r="K55" s="37">
        <f>22803.1+8047</f>
        <v>30850.1</v>
      </c>
      <c r="L55" s="94">
        <f>+H55+I55+J55+K55</f>
        <v>123324.5</v>
      </c>
      <c r="M55" s="91">
        <f>+G55-L55</f>
        <v>2212774.5</v>
      </c>
      <c r="N55" s="4"/>
    </row>
    <row r="56" spans="1:14" ht="15.75" x14ac:dyDescent="0.25">
      <c r="A56" s="20"/>
      <c r="B56" s="20"/>
      <c r="C56" s="20"/>
      <c r="D56" s="20"/>
      <c r="E56" s="20"/>
      <c r="F56" s="85"/>
      <c r="G56" s="47"/>
      <c r="H56" s="37"/>
      <c r="I56" s="37"/>
      <c r="J56" s="37"/>
      <c r="K56" s="37"/>
      <c r="L56" s="94"/>
      <c r="M56" s="91"/>
      <c r="N56" s="4"/>
    </row>
    <row r="57" spans="1:14" ht="16.5" thickBot="1" x14ac:dyDescent="0.3">
      <c r="A57" s="20">
        <v>2</v>
      </c>
      <c r="B57" s="20">
        <v>2</v>
      </c>
      <c r="C57" s="20">
        <v>1</v>
      </c>
      <c r="D57" s="20">
        <v>6</v>
      </c>
      <c r="E57" s="20"/>
      <c r="F57" s="83" t="s">
        <v>42</v>
      </c>
      <c r="G57" s="67">
        <f>G58</f>
        <v>960000</v>
      </c>
      <c r="H57" s="42">
        <f>H58</f>
        <v>59164</v>
      </c>
      <c r="I57" s="42">
        <f t="shared" ref="I57:L57" si="18">I58</f>
        <v>61608.42</v>
      </c>
      <c r="J57" s="42">
        <f t="shared" si="18"/>
        <v>61274.68</v>
      </c>
      <c r="K57" s="42">
        <f t="shared" si="18"/>
        <v>67561.62</v>
      </c>
      <c r="L57" s="42">
        <f t="shared" si="18"/>
        <v>249608.72</v>
      </c>
      <c r="M57" s="124">
        <f>M58</f>
        <v>710391.28</v>
      </c>
      <c r="N57" s="4"/>
    </row>
    <row r="58" spans="1:14" ht="15.75" x14ac:dyDescent="0.25">
      <c r="A58" s="20">
        <v>2</v>
      </c>
      <c r="B58" s="20">
        <v>2</v>
      </c>
      <c r="C58" s="20">
        <v>1</v>
      </c>
      <c r="D58" s="20">
        <v>6</v>
      </c>
      <c r="E58" s="20">
        <v>1</v>
      </c>
      <c r="F58" s="85" t="s">
        <v>43</v>
      </c>
      <c r="G58" s="78">
        <v>960000</v>
      </c>
      <c r="H58" s="37">
        <v>59164</v>
      </c>
      <c r="I58" s="37">
        <v>61608.42</v>
      </c>
      <c r="J58" s="37">
        <v>61274.68</v>
      </c>
      <c r="K58" s="37">
        <v>67561.62</v>
      </c>
      <c r="L58" s="94">
        <f>+H58+I58+J58+K58</f>
        <v>249608.72</v>
      </c>
      <c r="M58" s="91">
        <f>+G58-L58</f>
        <v>710391.28</v>
      </c>
      <c r="N58" s="4"/>
    </row>
    <row r="59" spans="1:14" ht="15.75" x14ac:dyDescent="0.25">
      <c r="A59" s="20"/>
      <c r="B59" s="20"/>
      <c r="C59" s="20"/>
      <c r="D59" s="20"/>
      <c r="E59" s="20"/>
      <c r="F59" s="85"/>
      <c r="G59" s="47"/>
      <c r="H59" s="37"/>
      <c r="I59" s="37"/>
      <c r="J59" s="37"/>
      <c r="K59" s="37"/>
      <c r="L59" s="94"/>
      <c r="M59" s="91"/>
      <c r="N59" s="4"/>
    </row>
    <row r="60" spans="1:14" ht="32.25" thickBot="1" x14ac:dyDescent="0.3">
      <c r="A60" s="20">
        <v>2</v>
      </c>
      <c r="B60" s="20">
        <v>2</v>
      </c>
      <c r="C60" s="20">
        <v>2</v>
      </c>
      <c r="D60" s="20"/>
      <c r="E60" s="20"/>
      <c r="F60" s="83" t="s">
        <v>44</v>
      </c>
      <c r="G60" s="67">
        <f>SUM(G61:G62)</f>
        <v>3641500</v>
      </c>
      <c r="H60" s="27">
        <f>H61+H62</f>
        <v>4810</v>
      </c>
      <c r="I60" s="27">
        <f t="shared" ref="I60:M60" si="19">I61+I62</f>
        <v>204650</v>
      </c>
      <c r="J60" s="27">
        <f t="shared" si="19"/>
        <v>12661</v>
      </c>
      <c r="K60" s="27">
        <f t="shared" si="19"/>
        <v>0</v>
      </c>
      <c r="L60" s="27">
        <f t="shared" si="19"/>
        <v>222121</v>
      </c>
      <c r="M60" s="96">
        <f t="shared" si="19"/>
        <v>3419379</v>
      </c>
      <c r="N60" s="4"/>
    </row>
    <row r="61" spans="1:14" ht="15.75" x14ac:dyDescent="0.25">
      <c r="A61" s="20">
        <v>2</v>
      </c>
      <c r="B61" s="20">
        <v>2</v>
      </c>
      <c r="C61" s="20">
        <v>2</v>
      </c>
      <c r="D61" s="20">
        <v>1</v>
      </c>
      <c r="E61" s="20"/>
      <c r="F61" s="84" t="s">
        <v>45</v>
      </c>
      <c r="G61" s="78">
        <v>1075500</v>
      </c>
      <c r="H61" s="36">
        <f>3100</f>
        <v>3100</v>
      </c>
      <c r="I61" s="36">
        <v>195000</v>
      </c>
      <c r="J61" s="36"/>
      <c r="K61" s="36"/>
      <c r="L61" s="92">
        <f>+H61+I61+J61+K61</f>
        <v>198100</v>
      </c>
      <c r="M61" s="98">
        <f>+G61-L61</f>
        <v>877400</v>
      </c>
      <c r="N61" s="4"/>
    </row>
    <row r="62" spans="1:14" ht="31.5" x14ac:dyDescent="0.25">
      <c r="A62" s="20">
        <v>2</v>
      </c>
      <c r="B62" s="20">
        <v>2</v>
      </c>
      <c r="C62" s="20">
        <v>2</v>
      </c>
      <c r="D62" s="20">
        <v>2</v>
      </c>
      <c r="E62" s="20"/>
      <c r="F62" s="84" t="s">
        <v>46</v>
      </c>
      <c r="G62" s="47">
        <v>2566000</v>
      </c>
      <c r="H62" s="37">
        <v>1710</v>
      </c>
      <c r="I62" s="37">
        <f>7470+2180</f>
        <v>9650</v>
      </c>
      <c r="J62" s="37">
        <v>12661</v>
      </c>
      <c r="K62" s="37"/>
      <c r="L62" s="94">
        <f>+H62+I62+J62+K62</f>
        <v>24021</v>
      </c>
      <c r="M62" s="91">
        <f>+G62-L62</f>
        <v>2541979</v>
      </c>
      <c r="N62" s="4"/>
    </row>
    <row r="63" spans="1:14" ht="15.75" x14ac:dyDescent="0.25">
      <c r="A63" s="20"/>
      <c r="B63" s="20"/>
      <c r="C63" s="20"/>
      <c r="D63" s="20"/>
      <c r="E63" s="20"/>
      <c r="F63" s="85"/>
      <c r="G63" s="47"/>
      <c r="H63" s="37"/>
      <c r="I63" s="37"/>
      <c r="J63" s="37"/>
      <c r="K63" s="37"/>
      <c r="L63" s="94"/>
      <c r="M63" s="91"/>
      <c r="N63" s="4"/>
    </row>
    <row r="64" spans="1:14" ht="16.5" thickBot="1" x14ac:dyDescent="0.3">
      <c r="A64" s="20">
        <v>2</v>
      </c>
      <c r="B64" s="20">
        <v>2</v>
      </c>
      <c r="C64" s="20">
        <v>3</v>
      </c>
      <c r="D64" s="20"/>
      <c r="E64" s="20"/>
      <c r="F64" s="83" t="s">
        <v>47</v>
      </c>
      <c r="G64" s="67">
        <f>G65+G66</f>
        <v>729590</v>
      </c>
      <c r="H64" s="33">
        <f>H65+H66</f>
        <v>11400</v>
      </c>
      <c r="I64" s="33">
        <f t="shared" ref="I64:L64" si="20">I65+I66</f>
        <v>20000</v>
      </c>
      <c r="J64" s="33">
        <f t="shared" si="20"/>
        <v>6918</v>
      </c>
      <c r="K64" s="33">
        <f t="shared" si="20"/>
        <v>7800</v>
      </c>
      <c r="L64" s="33">
        <f t="shared" si="20"/>
        <v>46118</v>
      </c>
      <c r="M64" s="99">
        <f>M65+M66</f>
        <v>683472</v>
      </c>
      <c r="N64" s="4"/>
    </row>
    <row r="65" spans="1:14" ht="15.75" x14ac:dyDescent="0.25">
      <c r="A65" s="20">
        <v>2</v>
      </c>
      <c r="B65" s="20">
        <v>2</v>
      </c>
      <c r="C65" s="20">
        <v>3</v>
      </c>
      <c r="D65" s="20">
        <v>1</v>
      </c>
      <c r="E65" s="44"/>
      <c r="F65" s="84" t="s">
        <v>48</v>
      </c>
      <c r="G65" s="78">
        <v>200000</v>
      </c>
      <c r="H65" s="31">
        <f>1500+2800+2800+2800+1500</f>
        <v>11400</v>
      </c>
      <c r="I65" s="31">
        <v>20000</v>
      </c>
      <c r="J65" s="31">
        <f>5418+1500</f>
        <v>6918</v>
      </c>
      <c r="K65" s="31">
        <v>7800</v>
      </c>
      <c r="L65" s="100">
        <f>+H65+I65+J65+K65</f>
        <v>46118</v>
      </c>
      <c r="M65" s="120">
        <f>+G65-L65</f>
        <v>153882</v>
      </c>
      <c r="N65" s="4"/>
    </row>
    <row r="66" spans="1:14" ht="15.75" x14ac:dyDescent="0.25">
      <c r="A66" s="20">
        <v>2</v>
      </c>
      <c r="B66" s="20">
        <v>2</v>
      </c>
      <c r="C66" s="20">
        <v>3</v>
      </c>
      <c r="D66" s="20">
        <v>2</v>
      </c>
      <c r="E66" s="44"/>
      <c r="F66" s="84" t="s">
        <v>49</v>
      </c>
      <c r="G66" s="47">
        <v>529590</v>
      </c>
      <c r="H66" s="37"/>
      <c r="I66" s="37"/>
      <c r="J66" s="37"/>
      <c r="K66" s="37"/>
      <c r="L66" s="94">
        <f>+H66+I66+J66+K66</f>
        <v>0</v>
      </c>
      <c r="M66" s="91">
        <f>+G66-L66</f>
        <v>529590</v>
      </c>
      <c r="N66" s="4"/>
    </row>
    <row r="67" spans="1:14" ht="15.75" x14ac:dyDescent="0.25">
      <c r="A67" s="20"/>
      <c r="B67" s="20"/>
      <c r="C67" s="20"/>
      <c r="D67" s="20"/>
      <c r="E67" s="20"/>
      <c r="F67" s="84"/>
      <c r="G67" s="47"/>
      <c r="H67" s="37"/>
      <c r="I67" s="37"/>
      <c r="J67" s="37"/>
      <c r="K67" s="37"/>
      <c r="L67" s="94"/>
      <c r="M67" s="91"/>
      <c r="N67" s="4"/>
    </row>
    <row r="68" spans="1:14" ht="16.5" thickBot="1" x14ac:dyDescent="0.3">
      <c r="A68" s="20">
        <v>2</v>
      </c>
      <c r="B68" s="20">
        <v>2</v>
      </c>
      <c r="C68" s="20">
        <v>4</v>
      </c>
      <c r="D68" s="20"/>
      <c r="E68" s="20"/>
      <c r="F68" s="83" t="s">
        <v>50</v>
      </c>
      <c r="G68" s="67">
        <f>G69+G70</f>
        <v>523000</v>
      </c>
      <c r="H68" s="33">
        <f>H69+H70</f>
        <v>2000</v>
      </c>
      <c r="I68" s="33">
        <f t="shared" ref="I68:L68" si="21">I69+I70</f>
        <v>35296.089999999997</v>
      </c>
      <c r="J68" s="33">
        <f t="shared" si="21"/>
        <v>16324.18</v>
      </c>
      <c r="K68" s="33">
        <f t="shared" si="21"/>
        <v>339029.2</v>
      </c>
      <c r="L68" s="33">
        <f t="shared" si="21"/>
        <v>392649.47000000003</v>
      </c>
      <c r="M68" s="99">
        <f>M69+M70</f>
        <v>130350.52999999997</v>
      </c>
      <c r="N68" s="4"/>
    </row>
    <row r="69" spans="1:14" ht="15.75" x14ac:dyDescent="0.25">
      <c r="A69" s="20">
        <v>2</v>
      </c>
      <c r="B69" s="20">
        <v>2</v>
      </c>
      <c r="C69" s="20">
        <v>4</v>
      </c>
      <c r="D69" s="20">
        <v>1</v>
      </c>
      <c r="E69" s="20"/>
      <c r="F69" s="84" t="s">
        <v>51</v>
      </c>
      <c r="G69" s="78">
        <v>523000</v>
      </c>
      <c r="H69" s="37">
        <f>450+500+500+550</f>
        <v>2000</v>
      </c>
      <c r="I69" s="37">
        <f>8346.09+600+350+2000+24000</f>
        <v>35296.089999999997</v>
      </c>
      <c r="J69" s="37">
        <f>9974.18+500+600+750+750+750+750+750+750+750</f>
        <v>16324.18</v>
      </c>
      <c r="K69" s="37">
        <f>264819+39900+8585.2+700+700+700+700+700+700+700+700+700+700+1500+725+16500</f>
        <v>339029.2</v>
      </c>
      <c r="L69" s="94">
        <f>+H69+I69+J69+K69</f>
        <v>392649.47000000003</v>
      </c>
      <c r="M69" s="91">
        <f>+G69-L69</f>
        <v>130350.52999999997</v>
      </c>
      <c r="N69" s="4"/>
    </row>
    <row r="70" spans="1:14" ht="15.75" x14ac:dyDescent="0.25">
      <c r="A70" s="20">
        <v>2</v>
      </c>
      <c r="B70" s="20">
        <v>2</v>
      </c>
      <c r="C70" s="20">
        <v>4</v>
      </c>
      <c r="D70" s="20">
        <v>3</v>
      </c>
      <c r="E70" s="20"/>
      <c r="F70" s="84" t="s">
        <v>52</v>
      </c>
      <c r="G70" s="47"/>
      <c r="H70" s="37"/>
      <c r="I70" s="37"/>
      <c r="J70" s="37"/>
      <c r="K70" s="37"/>
      <c r="L70" s="94">
        <f>+H70+I70</f>
        <v>0</v>
      </c>
      <c r="M70" s="91">
        <f>+G70-L70</f>
        <v>0</v>
      </c>
      <c r="N70" s="4"/>
    </row>
    <row r="71" spans="1:14" ht="15.75" x14ac:dyDescent="0.25">
      <c r="A71" s="20"/>
      <c r="B71" s="20"/>
      <c r="C71" s="20"/>
      <c r="D71" s="20"/>
      <c r="E71" s="20"/>
      <c r="F71" s="84"/>
      <c r="G71" s="47"/>
      <c r="H71" s="37"/>
      <c r="I71" s="37"/>
      <c r="J71" s="37"/>
      <c r="K71" s="37"/>
      <c r="L71" s="94"/>
      <c r="M71" s="91"/>
      <c r="N71" s="4"/>
    </row>
    <row r="72" spans="1:14" ht="16.5" thickBot="1" x14ac:dyDescent="0.3">
      <c r="A72" s="20">
        <v>2</v>
      </c>
      <c r="B72" s="20">
        <v>2</v>
      </c>
      <c r="C72" s="20">
        <v>5</v>
      </c>
      <c r="D72" s="20"/>
      <c r="E72" s="20"/>
      <c r="F72" s="83" t="s">
        <v>53</v>
      </c>
      <c r="G72" s="67">
        <f>G73+G78</f>
        <v>11463016</v>
      </c>
      <c r="H72" s="27">
        <f>H75+H73</f>
        <v>901172.12</v>
      </c>
      <c r="I72" s="27">
        <f t="shared" ref="I72:M72" si="22">I75+I73</f>
        <v>899520.22</v>
      </c>
      <c r="J72" s="27">
        <f t="shared" si="22"/>
        <v>853735.54</v>
      </c>
      <c r="K72" s="27">
        <f t="shared" si="22"/>
        <v>863657.15</v>
      </c>
      <c r="L72" s="27">
        <f t="shared" si="22"/>
        <v>3518085.03</v>
      </c>
      <c r="M72" s="96">
        <f t="shared" si="22"/>
        <v>7944930.9700000007</v>
      </c>
      <c r="N72" s="4"/>
    </row>
    <row r="73" spans="1:14" ht="31.5" x14ac:dyDescent="0.25">
      <c r="A73" s="20">
        <v>2</v>
      </c>
      <c r="B73" s="20">
        <v>2</v>
      </c>
      <c r="C73" s="20">
        <v>5</v>
      </c>
      <c r="D73" s="20">
        <v>1</v>
      </c>
      <c r="E73" s="20"/>
      <c r="F73" s="85" t="s">
        <v>54</v>
      </c>
      <c r="G73" s="78">
        <v>11107423</v>
      </c>
      <c r="H73" s="36">
        <f>874357.27+18554.85</f>
        <v>892912.12</v>
      </c>
      <c r="I73" s="36">
        <f>18520.51+872739.71</f>
        <v>891260.22</v>
      </c>
      <c r="J73" s="36">
        <f>827145.89+17552.97</f>
        <v>844698.86</v>
      </c>
      <c r="K73" s="36">
        <f>837621.87+17775.28</f>
        <v>855397.15</v>
      </c>
      <c r="L73" s="92">
        <f>+H73+I73+J73+K73</f>
        <v>3484268.3499999996</v>
      </c>
      <c r="M73" s="98">
        <f>+G73-L73</f>
        <v>7623154.6500000004</v>
      </c>
      <c r="N73" s="4"/>
    </row>
    <row r="74" spans="1:14" ht="15.75" x14ac:dyDescent="0.25">
      <c r="A74" s="20"/>
      <c r="B74" s="20"/>
      <c r="C74" s="20"/>
      <c r="D74" s="20"/>
      <c r="E74" s="44"/>
      <c r="F74" s="84"/>
      <c r="G74" s="47"/>
      <c r="H74" s="37"/>
      <c r="I74" s="37"/>
      <c r="J74" s="37"/>
      <c r="K74" s="37"/>
      <c r="L74" s="94"/>
      <c r="M74" s="91"/>
      <c r="N74" s="4"/>
    </row>
    <row r="75" spans="1:14" ht="32.25" thickBot="1" x14ac:dyDescent="0.3">
      <c r="A75" s="20">
        <v>2</v>
      </c>
      <c r="B75" s="20">
        <v>2</v>
      </c>
      <c r="C75" s="20">
        <v>5</v>
      </c>
      <c r="D75" s="20">
        <v>3</v>
      </c>
      <c r="E75" s="25"/>
      <c r="F75" s="83" t="s">
        <v>55</v>
      </c>
      <c r="G75" s="67">
        <f>G76+G77+G78</f>
        <v>355593</v>
      </c>
      <c r="H75" s="33">
        <f>H76+H77+H78</f>
        <v>8260</v>
      </c>
      <c r="I75" s="33">
        <f t="shared" ref="I75:M75" si="23">I76+I77+I78</f>
        <v>8260</v>
      </c>
      <c r="J75" s="33">
        <f t="shared" si="23"/>
        <v>9036.68</v>
      </c>
      <c r="K75" s="33">
        <f t="shared" si="23"/>
        <v>8260</v>
      </c>
      <c r="L75" s="33">
        <f t="shared" si="23"/>
        <v>33816.68</v>
      </c>
      <c r="M75" s="99">
        <f t="shared" si="23"/>
        <v>321776.32</v>
      </c>
      <c r="N75" s="4"/>
    </row>
    <row r="76" spans="1:14" ht="15.75" x14ac:dyDescent="0.25">
      <c r="A76" s="20">
        <v>2</v>
      </c>
      <c r="B76" s="20">
        <v>2</v>
      </c>
      <c r="C76" s="20">
        <v>5</v>
      </c>
      <c r="D76" s="20">
        <v>3</v>
      </c>
      <c r="E76" s="20">
        <v>2</v>
      </c>
      <c r="F76" s="85" t="s">
        <v>56</v>
      </c>
      <c r="G76" s="78"/>
      <c r="H76" s="37">
        <v>0</v>
      </c>
      <c r="I76" s="37">
        <v>0</v>
      </c>
      <c r="J76" s="37"/>
      <c r="K76" s="37"/>
      <c r="L76" s="94">
        <f>+H76+I76+J76+K76</f>
        <v>0</v>
      </c>
      <c r="M76" s="91">
        <f>+G76-L76</f>
        <v>0</v>
      </c>
      <c r="N76" s="4"/>
    </row>
    <row r="77" spans="1:14" s="3" customFormat="1" ht="31.5" x14ac:dyDescent="0.25">
      <c r="A77" s="20">
        <v>2</v>
      </c>
      <c r="B77" s="20">
        <v>2</v>
      </c>
      <c r="C77" s="20">
        <v>5</v>
      </c>
      <c r="D77" s="20">
        <v>3</v>
      </c>
      <c r="E77" s="20">
        <v>3</v>
      </c>
      <c r="F77" s="85" t="s">
        <v>57</v>
      </c>
      <c r="G77" s="47"/>
      <c r="H77" s="37"/>
      <c r="I77" s="37"/>
      <c r="J77" s="37"/>
      <c r="K77" s="37"/>
      <c r="L77" s="94">
        <f>+H77+I77+J77+K77</f>
        <v>0</v>
      </c>
      <c r="M77" s="91">
        <f>+G77-L77</f>
        <v>0</v>
      </c>
      <c r="N77" s="101"/>
    </row>
    <row r="78" spans="1:14" ht="31.5" x14ac:dyDescent="0.25">
      <c r="A78" s="20">
        <v>2</v>
      </c>
      <c r="B78" s="20">
        <v>2</v>
      </c>
      <c r="C78" s="20">
        <v>5</v>
      </c>
      <c r="D78" s="20">
        <v>3</v>
      </c>
      <c r="E78" s="20">
        <v>4</v>
      </c>
      <c r="F78" s="85" t="s">
        <v>58</v>
      </c>
      <c r="G78" s="47">
        <v>355593</v>
      </c>
      <c r="H78" s="37">
        <v>8260</v>
      </c>
      <c r="I78" s="37">
        <v>8260</v>
      </c>
      <c r="J78" s="37">
        <v>9036.68</v>
      </c>
      <c r="K78" s="37">
        <v>8260</v>
      </c>
      <c r="L78" s="94">
        <f>+H78+I78+J78+K78</f>
        <v>33816.68</v>
      </c>
      <c r="M78" s="91">
        <f>+G78-L78</f>
        <v>321776.32</v>
      </c>
      <c r="N78" s="4"/>
    </row>
    <row r="79" spans="1:14" ht="16.5" thickBot="1" x14ac:dyDescent="0.3">
      <c r="A79" s="20"/>
      <c r="B79" s="20"/>
      <c r="C79" s="20"/>
      <c r="D79" s="20"/>
      <c r="E79" s="20"/>
      <c r="F79" s="85"/>
      <c r="G79" s="47"/>
      <c r="H79" s="37"/>
      <c r="I79" s="37"/>
      <c r="J79" s="37"/>
      <c r="K79" s="37"/>
      <c r="L79" s="94"/>
      <c r="M79" s="91"/>
      <c r="N79" s="4"/>
    </row>
    <row r="80" spans="1:14" ht="16.5" thickBot="1" x14ac:dyDescent="0.3">
      <c r="A80" s="20">
        <v>2</v>
      </c>
      <c r="B80" s="20">
        <v>2</v>
      </c>
      <c r="C80" s="20">
        <v>6</v>
      </c>
      <c r="D80" s="20"/>
      <c r="E80" s="20"/>
      <c r="F80" s="85" t="s">
        <v>59</v>
      </c>
      <c r="G80" s="68">
        <f>G82+G81</f>
        <v>2843017</v>
      </c>
      <c r="H80" s="40">
        <f>H82+H81</f>
        <v>163219.78</v>
      </c>
      <c r="I80" s="40">
        <f t="shared" ref="I80:J80" si="24">I82+I81</f>
        <v>272836.56</v>
      </c>
      <c r="J80" s="40">
        <f t="shared" si="24"/>
        <v>174310.05</v>
      </c>
      <c r="K80" s="40">
        <f>K82+K81</f>
        <v>281612.59999999998</v>
      </c>
      <c r="L80" s="40">
        <f>L82+L81</f>
        <v>891978.99</v>
      </c>
      <c r="M80" s="125">
        <f>M82+M81</f>
        <v>1951038.01</v>
      </c>
      <c r="N80" s="4"/>
    </row>
    <row r="81" spans="1:14" ht="16.5" thickBot="1" x14ac:dyDescent="0.3">
      <c r="A81" s="45">
        <v>2</v>
      </c>
      <c r="B81" s="45">
        <v>2</v>
      </c>
      <c r="C81" s="45">
        <v>6</v>
      </c>
      <c r="D81" s="45">
        <v>2</v>
      </c>
      <c r="E81" s="45">
        <v>1</v>
      </c>
      <c r="F81" s="126" t="s">
        <v>60</v>
      </c>
      <c r="G81" s="46">
        <v>203017</v>
      </c>
      <c r="H81" s="46"/>
      <c r="I81" s="46">
        <f>19433.49+17052+40924.8+21116.22</f>
        <v>98526.510000000009</v>
      </c>
      <c r="J81" s="46"/>
      <c r="K81" s="46">
        <v>107302.55</v>
      </c>
      <c r="L81" s="46">
        <f>+H81+I81+J81+K81</f>
        <v>205829.06</v>
      </c>
      <c r="M81" s="127">
        <f>+G81-L81</f>
        <v>-2812.0599999999977</v>
      </c>
      <c r="N81" s="4"/>
    </row>
    <row r="82" spans="1:14" ht="15.75" x14ac:dyDescent="0.25">
      <c r="A82" s="20">
        <v>2</v>
      </c>
      <c r="B82" s="20">
        <v>2</v>
      </c>
      <c r="C82" s="20">
        <v>6</v>
      </c>
      <c r="D82" s="20">
        <v>3</v>
      </c>
      <c r="E82" s="20">
        <v>1</v>
      </c>
      <c r="F82" s="85" t="s">
        <v>61</v>
      </c>
      <c r="G82" s="47">
        <v>2640000</v>
      </c>
      <c r="H82" s="37">
        <v>163219.78</v>
      </c>
      <c r="I82" s="37">
        <f>174310.05</f>
        <v>174310.05</v>
      </c>
      <c r="J82" s="37">
        <v>174310.05</v>
      </c>
      <c r="K82" s="37">
        <v>174310.05</v>
      </c>
      <c r="L82" s="94">
        <f>+H82+I82+J82+K82</f>
        <v>686149.92999999993</v>
      </c>
      <c r="M82" s="91">
        <f>+G82-L82</f>
        <v>1953850.07</v>
      </c>
      <c r="N82" s="4"/>
    </row>
    <row r="83" spans="1:14" ht="15.75" x14ac:dyDescent="0.25">
      <c r="A83" s="20"/>
      <c r="B83" s="20"/>
      <c r="C83" s="20"/>
      <c r="D83" s="20"/>
      <c r="E83" s="20"/>
      <c r="F83" s="85"/>
      <c r="G83" s="47"/>
      <c r="H83" s="37">
        <v>0</v>
      </c>
      <c r="I83" s="37">
        <v>0</v>
      </c>
      <c r="J83" s="37"/>
      <c r="K83" s="37"/>
      <c r="L83" s="94"/>
      <c r="M83" s="91">
        <v>0</v>
      </c>
      <c r="N83" s="4"/>
    </row>
    <row r="84" spans="1:14" ht="63.75" thickBot="1" x14ac:dyDescent="0.3">
      <c r="A84" s="20">
        <v>2</v>
      </c>
      <c r="B84" s="20">
        <v>2</v>
      </c>
      <c r="C84" s="20">
        <v>7</v>
      </c>
      <c r="D84" s="20"/>
      <c r="E84" s="25"/>
      <c r="F84" s="83" t="s">
        <v>62</v>
      </c>
      <c r="G84" s="69">
        <f>G85</f>
        <v>398000</v>
      </c>
      <c r="H84" s="27">
        <f>SUM(H86:H90)</f>
        <v>4400</v>
      </c>
      <c r="I84" s="27">
        <f t="shared" ref="I84:M84" si="25">SUM(I86:I90)</f>
        <v>2800</v>
      </c>
      <c r="J84" s="27">
        <f t="shared" si="25"/>
        <v>6300</v>
      </c>
      <c r="K84" s="27">
        <f t="shared" si="25"/>
        <v>37058.050000000003</v>
      </c>
      <c r="L84" s="27">
        <f t="shared" si="25"/>
        <v>50558.05</v>
      </c>
      <c r="M84" s="96">
        <f t="shared" si="25"/>
        <v>347441.95</v>
      </c>
      <c r="N84" s="4"/>
    </row>
    <row r="85" spans="1:14" ht="32.25" thickBot="1" x14ac:dyDescent="0.3">
      <c r="A85" s="20">
        <v>2</v>
      </c>
      <c r="B85" s="20">
        <v>2</v>
      </c>
      <c r="C85" s="20">
        <v>7</v>
      </c>
      <c r="D85" s="20">
        <v>2</v>
      </c>
      <c r="E85" s="25"/>
      <c r="F85" s="83" t="s">
        <v>63</v>
      </c>
      <c r="G85" s="68">
        <f>SUM(G87:G90)</f>
        <v>398000</v>
      </c>
      <c r="H85" s="68">
        <f>SUM(H86:H90)</f>
        <v>4400</v>
      </c>
      <c r="I85" s="68">
        <f t="shared" ref="I85:L85" si="26">SUM(I86:I90)</f>
        <v>2800</v>
      </c>
      <c r="J85" s="68">
        <f t="shared" si="26"/>
        <v>6300</v>
      </c>
      <c r="K85" s="68">
        <f t="shared" si="26"/>
        <v>37058.050000000003</v>
      </c>
      <c r="L85" s="68">
        <f t="shared" si="26"/>
        <v>50558.05</v>
      </c>
      <c r="M85" s="128">
        <f>SUM(M86:M90)</f>
        <v>347441.95</v>
      </c>
      <c r="N85" s="4"/>
    </row>
    <row r="86" spans="1:14" ht="47.25" x14ac:dyDescent="0.25">
      <c r="A86" s="20">
        <v>2</v>
      </c>
      <c r="B86" s="20">
        <v>2</v>
      </c>
      <c r="C86" s="20">
        <v>7</v>
      </c>
      <c r="D86" s="20">
        <v>1</v>
      </c>
      <c r="E86" s="44">
        <v>2</v>
      </c>
      <c r="F86" s="129" t="s">
        <v>64</v>
      </c>
      <c r="G86" s="69"/>
      <c r="H86" s="69"/>
      <c r="I86" s="69"/>
      <c r="J86" s="69"/>
      <c r="K86" s="69"/>
      <c r="L86" s="95">
        <f>+H86+I86+J86+K86</f>
        <v>0</v>
      </c>
      <c r="M86" s="130">
        <f>+G87-L86</f>
        <v>80000</v>
      </c>
      <c r="N86" s="4"/>
    </row>
    <row r="87" spans="1:14" ht="47.25" x14ac:dyDescent="0.25">
      <c r="A87" s="20">
        <v>2</v>
      </c>
      <c r="B87" s="20">
        <v>2</v>
      </c>
      <c r="C87" s="20">
        <v>7</v>
      </c>
      <c r="D87" s="20">
        <v>2</v>
      </c>
      <c r="E87" s="44">
        <v>2</v>
      </c>
      <c r="F87" s="129" t="s">
        <v>65</v>
      </c>
      <c r="G87" s="47">
        <v>80000</v>
      </c>
      <c r="H87" s="37">
        <v>0</v>
      </c>
      <c r="I87" s="37">
        <v>0</v>
      </c>
      <c r="J87" s="37"/>
      <c r="K87" s="37"/>
      <c r="L87" s="95">
        <f>+H87+I87+J87+K87</f>
        <v>0</v>
      </c>
      <c r="M87" s="130">
        <f>+G88-L87</f>
        <v>0</v>
      </c>
      <c r="N87" s="4"/>
    </row>
    <row r="88" spans="1:14" ht="47.25" x14ac:dyDescent="0.25">
      <c r="A88" s="20">
        <v>2</v>
      </c>
      <c r="B88" s="20">
        <v>2</v>
      </c>
      <c r="C88" s="20">
        <v>7</v>
      </c>
      <c r="D88" s="20">
        <v>2</v>
      </c>
      <c r="E88" s="44">
        <v>3</v>
      </c>
      <c r="F88" s="129" t="s">
        <v>66</v>
      </c>
      <c r="G88" s="47"/>
      <c r="H88" s="47"/>
      <c r="I88" s="47"/>
      <c r="J88" s="47"/>
      <c r="K88" s="47"/>
      <c r="L88" s="95">
        <f t="shared" ref="L88:L90" si="27">+H88+I88+J88+K88</f>
        <v>0</v>
      </c>
      <c r="M88" s="130">
        <f>+G88-L88</f>
        <v>0</v>
      </c>
      <c r="N88" s="4"/>
    </row>
    <row r="89" spans="1:14" ht="47.25" x14ac:dyDescent="0.25">
      <c r="A89" s="20">
        <v>2</v>
      </c>
      <c r="B89" s="20">
        <v>2</v>
      </c>
      <c r="C89" s="20">
        <v>7</v>
      </c>
      <c r="D89" s="20">
        <v>2</v>
      </c>
      <c r="E89" s="44">
        <v>4</v>
      </c>
      <c r="F89" s="129" t="s">
        <v>67</v>
      </c>
      <c r="G89" s="47">
        <v>118000</v>
      </c>
      <c r="H89" s="37"/>
      <c r="I89" s="37"/>
      <c r="J89" s="37"/>
      <c r="K89" s="37">
        <v>16726.5</v>
      </c>
      <c r="L89" s="95">
        <f t="shared" si="27"/>
        <v>16726.5</v>
      </c>
      <c r="M89" s="130">
        <f>+G89-L89</f>
        <v>101273.5</v>
      </c>
      <c r="N89" s="4"/>
    </row>
    <row r="90" spans="1:14" ht="47.25" x14ac:dyDescent="0.25">
      <c r="A90" s="20">
        <v>2</v>
      </c>
      <c r="B90" s="20">
        <v>2</v>
      </c>
      <c r="C90" s="20">
        <v>7</v>
      </c>
      <c r="D90" s="20">
        <v>2</v>
      </c>
      <c r="E90" s="44">
        <v>6</v>
      </c>
      <c r="F90" s="129" t="s">
        <v>68</v>
      </c>
      <c r="G90" s="47">
        <v>200000</v>
      </c>
      <c r="H90" s="37">
        <f>700+700+2300+700</f>
        <v>4400</v>
      </c>
      <c r="I90" s="37">
        <f>700+200+400+800+700</f>
        <v>2800</v>
      </c>
      <c r="J90" s="37">
        <f>5600+100+600</f>
        <v>6300</v>
      </c>
      <c r="K90" s="37">
        <f>9566.51+8965.04+600+350+350+500</f>
        <v>20331.550000000003</v>
      </c>
      <c r="L90" s="95">
        <f t="shared" si="27"/>
        <v>33831.550000000003</v>
      </c>
      <c r="M90" s="130">
        <f>+G90-L90</f>
        <v>166168.45000000001</v>
      </c>
      <c r="N90" s="4"/>
    </row>
    <row r="91" spans="1:14" ht="15.75" x14ac:dyDescent="0.25">
      <c r="A91" s="20"/>
      <c r="B91" s="20"/>
      <c r="C91" s="20"/>
      <c r="D91" s="20"/>
      <c r="E91" s="44"/>
      <c r="F91" s="84"/>
      <c r="G91" s="47"/>
      <c r="H91" s="37"/>
      <c r="I91" s="37"/>
      <c r="J91" s="37"/>
      <c r="K91" s="37"/>
      <c r="L91" s="94"/>
      <c r="M91" s="91"/>
      <c r="N91" s="4"/>
    </row>
    <row r="92" spans="1:14" ht="32.25" thickBot="1" x14ac:dyDescent="0.3">
      <c r="A92" s="20">
        <v>2</v>
      </c>
      <c r="B92" s="20">
        <v>2</v>
      </c>
      <c r="C92" s="20">
        <v>8</v>
      </c>
      <c r="D92" s="20"/>
      <c r="E92" s="25"/>
      <c r="F92" s="83" t="s">
        <v>69</v>
      </c>
      <c r="G92" s="69">
        <f>SUM(G93+G94)+G96+G102</f>
        <v>30781506</v>
      </c>
      <c r="H92" s="27">
        <f>H93+H94+H96+H102</f>
        <v>1027473.0900000001</v>
      </c>
      <c r="I92" s="27">
        <f t="shared" ref="I92:M92" si="28">I93+I94+I96+I102</f>
        <v>1987672.88</v>
      </c>
      <c r="J92" s="27">
        <f t="shared" si="28"/>
        <v>1056163.1600000001</v>
      </c>
      <c r="K92" s="27">
        <f t="shared" si="28"/>
        <v>2415879.85</v>
      </c>
      <c r="L92" s="27">
        <f>L93+L94+L96+L102</f>
        <v>6487188.9800000004</v>
      </c>
      <c r="M92" s="96">
        <f t="shared" si="28"/>
        <v>24294317.020000003</v>
      </c>
      <c r="N92" s="4"/>
    </row>
    <row r="93" spans="1:14" ht="31.5" x14ac:dyDescent="0.25">
      <c r="A93" s="20">
        <v>2</v>
      </c>
      <c r="B93" s="20">
        <v>2</v>
      </c>
      <c r="C93" s="20">
        <v>8</v>
      </c>
      <c r="D93" s="20">
        <v>2</v>
      </c>
      <c r="E93" s="44"/>
      <c r="F93" s="84" t="s">
        <v>70</v>
      </c>
      <c r="G93" s="78">
        <v>120000</v>
      </c>
      <c r="H93" s="36">
        <f>60+7580.62</f>
        <v>7640.62</v>
      </c>
      <c r="I93" s="36">
        <f>60+14000.05</f>
        <v>14060.05</v>
      </c>
      <c r="J93" s="36">
        <v>6097.72</v>
      </c>
      <c r="K93" s="36">
        <f>60+10013.96</f>
        <v>10073.959999999999</v>
      </c>
      <c r="L93" s="92">
        <f>+H93+I93+J93+K93</f>
        <v>37872.35</v>
      </c>
      <c r="M93" s="98">
        <f>+G93-L93</f>
        <v>82127.649999999994</v>
      </c>
      <c r="N93" s="4"/>
    </row>
    <row r="94" spans="1:14" ht="31.5" x14ac:dyDescent="0.25">
      <c r="A94" s="20">
        <v>2</v>
      </c>
      <c r="B94" s="20">
        <v>2</v>
      </c>
      <c r="C94" s="20">
        <v>8</v>
      </c>
      <c r="D94" s="20">
        <v>4</v>
      </c>
      <c r="E94" s="20"/>
      <c r="F94" s="84" t="s">
        <v>71</v>
      </c>
      <c r="G94" s="47">
        <v>0</v>
      </c>
      <c r="H94" s="37">
        <v>0</v>
      </c>
      <c r="I94" s="37">
        <v>0</v>
      </c>
      <c r="J94" s="37"/>
      <c r="K94" s="37"/>
      <c r="L94" s="94">
        <f>+H94+I94+J94+K94</f>
        <v>0</v>
      </c>
      <c r="M94" s="91">
        <f>+G94-L94</f>
        <v>0</v>
      </c>
      <c r="N94" s="4"/>
    </row>
    <row r="95" spans="1:14" ht="15.75" x14ac:dyDescent="0.25">
      <c r="A95" s="20"/>
      <c r="B95" s="20"/>
      <c r="C95" s="20"/>
      <c r="D95" s="20"/>
      <c r="E95" s="20"/>
      <c r="F95" s="84"/>
      <c r="G95" s="47"/>
      <c r="H95" s="37"/>
      <c r="I95" s="37"/>
      <c r="J95" s="37"/>
      <c r="K95" s="37"/>
      <c r="L95" s="94"/>
      <c r="M95" s="91"/>
      <c r="N95" s="4"/>
    </row>
    <row r="96" spans="1:14" ht="32.25" thickBot="1" x14ac:dyDescent="0.3">
      <c r="A96" s="20">
        <v>2</v>
      </c>
      <c r="B96" s="20">
        <v>2</v>
      </c>
      <c r="C96" s="20">
        <v>8</v>
      </c>
      <c r="D96" s="20">
        <v>6</v>
      </c>
      <c r="E96" s="25"/>
      <c r="F96" s="83" t="s">
        <v>72</v>
      </c>
      <c r="G96" s="69">
        <f>G97+G98</f>
        <v>9551002</v>
      </c>
      <c r="H96" s="42">
        <f>H97+H98+H99</f>
        <v>369163.7</v>
      </c>
      <c r="I96" s="42">
        <f t="shared" ref="I96:J96" si="29">I97+I98+I99</f>
        <v>82996.73000000001</v>
      </c>
      <c r="J96" s="42">
        <f t="shared" si="29"/>
        <v>268520</v>
      </c>
      <c r="K96" s="42">
        <f>K97+K98+K99+K100</f>
        <v>1547991.83</v>
      </c>
      <c r="L96" s="42">
        <f>L97+L98+L99+L100</f>
        <v>2268672.2600000002</v>
      </c>
      <c r="M96" s="42">
        <f>M97+M98+M99+M100</f>
        <v>7282329.7400000002</v>
      </c>
      <c r="N96" s="4"/>
    </row>
    <row r="97" spans="1:14" ht="15.75" x14ac:dyDescent="0.25">
      <c r="A97" s="20">
        <v>2</v>
      </c>
      <c r="B97" s="20">
        <v>2</v>
      </c>
      <c r="C97" s="20">
        <v>8</v>
      </c>
      <c r="D97" s="20">
        <v>6</v>
      </c>
      <c r="E97" s="20">
        <v>1</v>
      </c>
      <c r="F97" s="84" t="s">
        <v>73</v>
      </c>
      <c r="G97" s="78">
        <v>9155002</v>
      </c>
      <c r="H97" s="36">
        <f>8102+7122.7+8869</f>
        <v>24093.7</v>
      </c>
      <c r="I97" s="36">
        <f>7522.5+8869+15694+21240</f>
        <v>53325.5</v>
      </c>
      <c r="J97" s="36"/>
      <c r="K97" s="36">
        <f>14042+575750</f>
        <v>589792</v>
      </c>
      <c r="L97" s="92">
        <f>+H97+I97+J97+K97</f>
        <v>667211.19999999995</v>
      </c>
      <c r="M97" s="98">
        <f>+G97-L97</f>
        <v>8487790.8000000007</v>
      </c>
      <c r="N97" s="4"/>
    </row>
    <row r="98" spans="1:14" ht="15.75" x14ac:dyDescent="0.25">
      <c r="A98" s="20">
        <v>2</v>
      </c>
      <c r="B98" s="20">
        <v>2</v>
      </c>
      <c r="C98" s="20">
        <v>8</v>
      </c>
      <c r="D98" s="20">
        <v>6</v>
      </c>
      <c r="E98" s="20">
        <v>2</v>
      </c>
      <c r="F98" s="84" t="s">
        <v>74</v>
      </c>
      <c r="G98" s="47">
        <v>396000</v>
      </c>
      <c r="H98" s="37">
        <f>4370+3200</f>
        <v>7570</v>
      </c>
      <c r="I98" s="37">
        <v>8950</v>
      </c>
      <c r="J98" s="37">
        <v>8520</v>
      </c>
      <c r="K98" s="37">
        <f>16874+2780+60187</f>
        <v>79841</v>
      </c>
      <c r="L98" s="94">
        <f>+H98+I98+J98+K98</f>
        <v>104881</v>
      </c>
      <c r="M98" s="91">
        <f>+G98-L98</f>
        <v>291119</v>
      </c>
      <c r="N98" s="4"/>
    </row>
    <row r="99" spans="1:14" ht="31.5" x14ac:dyDescent="0.25">
      <c r="A99" s="20">
        <v>2</v>
      </c>
      <c r="B99" s="20">
        <v>2</v>
      </c>
      <c r="C99" s="20">
        <v>8</v>
      </c>
      <c r="D99" s="20">
        <v>6</v>
      </c>
      <c r="E99" s="20">
        <v>3</v>
      </c>
      <c r="F99" s="84" t="s">
        <v>123</v>
      </c>
      <c r="G99" s="35"/>
      <c r="H99" s="37">
        <v>337500</v>
      </c>
      <c r="I99" s="37">
        <f>5026+7170.2+8525.03</f>
        <v>20721.230000000003</v>
      </c>
      <c r="J99" s="37">
        <v>260000</v>
      </c>
      <c r="K99" s="37">
        <v>38727.879999999997</v>
      </c>
      <c r="L99" s="94">
        <f t="shared" ref="L99" si="30">+H99+I99+J99+K99</f>
        <v>656949.11</v>
      </c>
      <c r="M99" s="91">
        <f>+G99-L99</f>
        <v>-656949.11</v>
      </c>
      <c r="N99" s="4"/>
    </row>
    <row r="100" spans="1:14" ht="15.75" x14ac:dyDescent="0.25">
      <c r="A100" s="20">
        <v>2</v>
      </c>
      <c r="B100" s="20">
        <v>2</v>
      </c>
      <c r="C100" s="20">
        <v>8</v>
      </c>
      <c r="D100" s="20">
        <v>6</v>
      </c>
      <c r="E100" s="20">
        <v>4</v>
      </c>
      <c r="F100" s="84" t="s">
        <v>140</v>
      </c>
      <c r="G100" s="35"/>
      <c r="H100" s="37"/>
      <c r="I100" s="37"/>
      <c r="J100" s="37"/>
      <c r="K100" s="37">
        <f>7349.75+25735.8+800000+5625+920.4</f>
        <v>839630.95000000007</v>
      </c>
      <c r="L100" s="94">
        <f>+H100+I100+J100+K100</f>
        <v>839630.95000000007</v>
      </c>
      <c r="M100" s="91">
        <f>+G100-L100</f>
        <v>-839630.95000000007</v>
      </c>
      <c r="N100" s="4"/>
    </row>
    <row r="101" spans="1:14" ht="15.75" x14ac:dyDescent="0.25">
      <c r="A101" s="20"/>
      <c r="B101" s="20"/>
      <c r="C101" s="20"/>
      <c r="D101" s="20"/>
      <c r="E101" s="20"/>
      <c r="F101" s="84"/>
      <c r="G101" s="35"/>
      <c r="H101" s="37"/>
      <c r="I101" s="37"/>
      <c r="J101" s="37"/>
      <c r="K101" s="37"/>
      <c r="L101" s="94"/>
      <c r="M101" s="91"/>
      <c r="N101" s="4"/>
    </row>
    <row r="102" spans="1:14" ht="31.5" x14ac:dyDescent="0.25">
      <c r="A102" s="20">
        <v>2</v>
      </c>
      <c r="B102" s="20">
        <v>2</v>
      </c>
      <c r="C102" s="20">
        <v>8</v>
      </c>
      <c r="D102" s="20">
        <v>7</v>
      </c>
      <c r="E102" s="25"/>
      <c r="F102" s="83" t="s">
        <v>75</v>
      </c>
      <c r="G102" s="49">
        <f>G103+G104+G105+G106+G107</f>
        <v>21110504</v>
      </c>
      <c r="H102" s="43">
        <f>H103+H104+H105+H106+H107</f>
        <v>650668.77</v>
      </c>
      <c r="I102" s="43">
        <f t="shared" ref="I102:M102" si="31">I103+I104+I105+I106+I107</f>
        <v>1890616.0999999999</v>
      </c>
      <c r="J102" s="43">
        <f>J103+J104+J105+J106+J107</f>
        <v>781545.44000000006</v>
      </c>
      <c r="K102" s="43">
        <f t="shared" si="31"/>
        <v>857814.05999999994</v>
      </c>
      <c r="L102" s="43">
        <f t="shared" si="31"/>
        <v>4180644.3699999996</v>
      </c>
      <c r="M102" s="131">
        <f t="shared" si="31"/>
        <v>16929859.630000003</v>
      </c>
      <c r="N102" s="4"/>
    </row>
    <row r="103" spans="1:14" ht="31.5" x14ac:dyDescent="0.25">
      <c r="A103" s="20">
        <v>2</v>
      </c>
      <c r="B103" s="20">
        <v>2</v>
      </c>
      <c r="C103" s="20">
        <v>8</v>
      </c>
      <c r="D103" s="20">
        <v>7</v>
      </c>
      <c r="E103" s="20">
        <v>1</v>
      </c>
      <c r="F103" s="84" t="s">
        <v>76</v>
      </c>
      <c r="G103" s="35">
        <v>2744000</v>
      </c>
      <c r="H103" s="37"/>
      <c r="I103" s="37"/>
      <c r="J103" s="37"/>
      <c r="K103" s="37"/>
      <c r="L103" s="94">
        <f>+H103+I103+J103+K103</f>
        <v>0</v>
      </c>
      <c r="M103" s="91">
        <f>+G103-L103</f>
        <v>2744000</v>
      </c>
      <c r="N103" s="4"/>
    </row>
    <row r="104" spans="1:14" ht="31.5" x14ac:dyDescent="0.25">
      <c r="A104" s="20">
        <v>2</v>
      </c>
      <c r="B104" s="20">
        <v>2</v>
      </c>
      <c r="C104" s="20">
        <v>8</v>
      </c>
      <c r="D104" s="20">
        <v>7</v>
      </c>
      <c r="E104" s="44">
        <v>3</v>
      </c>
      <c r="F104" s="84" t="s">
        <v>77</v>
      </c>
      <c r="G104" s="35">
        <v>315000</v>
      </c>
      <c r="H104" s="37"/>
      <c r="I104" s="37"/>
      <c r="J104" s="37"/>
      <c r="K104" s="37"/>
      <c r="L104" s="94">
        <f>+H104+I104+J104+K104</f>
        <v>0</v>
      </c>
      <c r="M104" s="91">
        <f>+G104-L104</f>
        <v>315000</v>
      </c>
      <c r="N104" s="4"/>
    </row>
    <row r="105" spans="1:14" ht="15.75" x14ac:dyDescent="0.25">
      <c r="A105" s="20">
        <v>2</v>
      </c>
      <c r="B105" s="20">
        <v>2</v>
      </c>
      <c r="C105" s="20">
        <v>8</v>
      </c>
      <c r="D105" s="20">
        <v>7</v>
      </c>
      <c r="E105" s="20">
        <v>4</v>
      </c>
      <c r="F105" s="84" t="s">
        <v>78</v>
      </c>
      <c r="G105" s="35">
        <v>225000</v>
      </c>
      <c r="H105" s="37"/>
      <c r="I105" s="37"/>
      <c r="J105" s="37"/>
      <c r="K105" s="37">
        <v>18000</v>
      </c>
      <c r="L105" s="94">
        <f t="shared" ref="L105:L107" si="32">+H105+I105+J105+K105</f>
        <v>18000</v>
      </c>
      <c r="M105" s="91">
        <f>+G105-L105</f>
        <v>207000</v>
      </c>
      <c r="N105" s="4"/>
    </row>
    <row r="106" spans="1:14" ht="31.5" x14ac:dyDescent="0.25">
      <c r="A106" s="20">
        <v>2</v>
      </c>
      <c r="B106" s="20">
        <v>2</v>
      </c>
      <c r="C106" s="20">
        <v>8</v>
      </c>
      <c r="D106" s="20">
        <v>7</v>
      </c>
      <c r="E106" s="20">
        <v>5</v>
      </c>
      <c r="F106" s="84" t="s">
        <v>79</v>
      </c>
      <c r="G106" s="35">
        <v>3037000</v>
      </c>
      <c r="H106" s="37"/>
      <c r="I106" s="37">
        <v>25770.63</v>
      </c>
      <c r="J106" s="37">
        <v>18613.849999999999</v>
      </c>
      <c r="K106" s="37">
        <v>114858.63</v>
      </c>
      <c r="L106" s="94">
        <f t="shared" si="32"/>
        <v>159243.10999999999</v>
      </c>
      <c r="M106" s="91">
        <f>+G106-L106</f>
        <v>2877756.89</v>
      </c>
      <c r="N106" s="4"/>
    </row>
    <row r="107" spans="1:14" ht="31.5" x14ac:dyDescent="0.25">
      <c r="A107" s="20">
        <v>2</v>
      </c>
      <c r="B107" s="20">
        <v>2</v>
      </c>
      <c r="C107" s="20">
        <v>8</v>
      </c>
      <c r="D107" s="20">
        <v>7</v>
      </c>
      <c r="E107" s="20">
        <v>6</v>
      </c>
      <c r="F107" s="84" t="s">
        <v>80</v>
      </c>
      <c r="G107" s="35">
        <v>14789504</v>
      </c>
      <c r="H107" s="37">
        <f>11800+30510+144225.5+177000+188800+35400+62933.27</f>
        <v>650668.77</v>
      </c>
      <c r="I107" s="37">
        <f>8024+3500+1500+165200+99120+29598.33+181871.04+264615+293932.1+20060+4000+200+188800+177000+144225+165200+118000</f>
        <v>1864845.47</v>
      </c>
      <c r="J107" s="37">
        <f>27140+188800+17700+29598.33+144225.5+118000+177000+13500+45467.76+1500</f>
        <v>762931.59000000008</v>
      </c>
      <c r="K107" s="37">
        <f>35400+293932.1+29598.33+144225+35400+118000+29500+3500+35400</f>
        <v>724955.42999999993</v>
      </c>
      <c r="L107" s="94">
        <f t="shared" si="32"/>
        <v>4003401.26</v>
      </c>
      <c r="M107" s="91">
        <f>+G107-L107</f>
        <v>10786102.74</v>
      </c>
      <c r="N107" s="4"/>
    </row>
    <row r="108" spans="1:14" ht="16.5" thickBot="1" x14ac:dyDescent="0.3">
      <c r="A108" s="20"/>
      <c r="B108" s="20"/>
      <c r="C108" s="20"/>
      <c r="D108" s="20"/>
      <c r="E108" s="20"/>
      <c r="F108" s="84"/>
      <c r="G108" s="38"/>
      <c r="H108" s="42"/>
      <c r="I108" s="42"/>
      <c r="J108" s="42"/>
      <c r="K108" s="42"/>
      <c r="L108" s="102"/>
      <c r="M108" s="124"/>
      <c r="N108" s="4"/>
    </row>
    <row r="109" spans="1:14" ht="32.25" thickBot="1" x14ac:dyDescent="0.3">
      <c r="A109" s="20">
        <v>2</v>
      </c>
      <c r="B109" s="20">
        <v>2</v>
      </c>
      <c r="C109" s="20">
        <v>9</v>
      </c>
      <c r="D109" s="20"/>
      <c r="E109" s="20"/>
      <c r="F109" s="83" t="s">
        <v>81</v>
      </c>
      <c r="G109" s="30">
        <f>G110+G111</f>
        <v>200000</v>
      </c>
      <c r="H109" s="70">
        <f>H110+H111</f>
        <v>32091.35</v>
      </c>
      <c r="I109" s="70">
        <f t="shared" ref="I109:M109" si="33">I110+I111</f>
        <v>33347.26</v>
      </c>
      <c r="J109" s="70">
        <f t="shared" si="33"/>
        <v>69225.97</v>
      </c>
      <c r="K109" s="70">
        <f>K110+K111</f>
        <v>92797.31</v>
      </c>
      <c r="L109" s="70">
        <f t="shared" si="33"/>
        <v>227461.89</v>
      </c>
      <c r="M109" s="132">
        <f t="shared" si="33"/>
        <v>-27461.890000000014</v>
      </c>
      <c r="N109" s="4"/>
    </row>
    <row r="110" spans="1:14" ht="16.5" thickBot="1" x14ac:dyDescent="0.3">
      <c r="A110" s="20">
        <v>2</v>
      </c>
      <c r="B110" s="20">
        <v>2</v>
      </c>
      <c r="C110" s="20">
        <v>9</v>
      </c>
      <c r="D110" s="20">
        <v>2</v>
      </c>
      <c r="E110" s="20"/>
      <c r="F110" s="84" t="s">
        <v>82</v>
      </c>
      <c r="G110" s="28"/>
      <c r="H110" s="50"/>
      <c r="I110" s="50"/>
      <c r="J110" s="50"/>
      <c r="K110" s="50"/>
      <c r="L110" s="103"/>
      <c r="M110" s="133"/>
      <c r="N110" s="4"/>
    </row>
    <row r="111" spans="1:14" ht="15.75" x14ac:dyDescent="0.25">
      <c r="A111" s="20"/>
      <c r="B111" s="20">
        <v>2</v>
      </c>
      <c r="C111" s="20">
        <v>9</v>
      </c>
      <c r="D111" s="20">
        <v>2</v>
      </c>
      <c r="E111" s="20">
        <v>1</v>
      </c>
      <c r="F111" s="84" t="s">
        <v>82</v>
      </c>
      <c r="G111" s="35">
        <v>200000</v>
      </c>
      <c r="H111" s="37">
        <f>220+1403.85+379.9+360+430+259.81+1280+619.8+504+759.8+25874.19</f>
        <v>32091.35</v>
      </c>
      <c r="I111" s="37">
        <f>1700+1446.8+50+360+1646.65+8326.72+360+504+17318.09+360+400+875</f>
        <v>33347.26</v>
      </c>
      <c r="J111" s="37">
        <f>26408.57+11885.21+640+180+820+500+432+79.99+504+360+27416.2</f>
        <v>69225.97</v>
      </c>
      <c r="K111" s="37">
        <f>8555+31141.09+14500+1499.75+216+18800+8283.67+1450+480+1122.95+966.85+155.9+4537.1+480+609</f>
        <v>92797.31</v>
      </c>
      <c r="L111" s="94">
        <f>+H111+I111+J111+K111</f>
        <v>227461.89</v>
      </c>
      <c r="M111" s="91">
        <f>+G111-L111</f>
        <v>-27461.890000000014</v>
      </c>
      <c r="N111" s="4"/>
    </row>
    <row r="112" spans="1:14" ht="15.75" x14ac:dyDescent="0.25">
      <c r="A112" s="20"/>
      <c r="B112" s="20"/>
      <c r="C112" s="20"/>
      <c r="D112" s="20"/>
      <c r="E112" s="20"/>
      <c r="F112" s="84"/>
      <c r="G112" s="35"/>
      <c r="H112" s="37"/>
      <c r="I112" s="37"/>
      <c r="J112" s="37"/>
      <c r="K112" s="37" t="s">
        <v>17</v>
      </c>
      <c r="L112" s="94"/>
      <c r="M112" s="91"/>
      <c r="N112" s="4"/>
    </row>
    <row r="113" spans="1:14" ht="16.5" thickBot="1" x14ac:dyDescent="0.3">
      <c r="A113" s="20">
        <v>2</v>
      </c>
      <c r="B113" s="20">
        <v>3</v>
      </c>
      <c r="C113" s="20"/>
      <c r="D113" s="20"/>
      <c r="E113" s="25"/>
      <c r="F113" s="83" t="s">
        <v>83</v>
      </c>
      <c r="G113" s="26">
        <f>G114+G118+G121+G127+G131+G139</f>
        <v>1956500</v>
      </c>
      <c r="H113" s="67">
        <f>H114+H118+H121+H127+H131+H139</f>
        <v>313477.32</v>
      </c>
      <c r="I113" s="67">
        <f t="shared" ref="I113:M113" si="34">I114+I118+I121+I127+I131+I139</f>
        <v>119674.04000000001</v>
      </c>
      <c r="J113" s="67">
        <f t="shared" si="34"/>
        <v>22314.080000000002</v>
      </c>
      <c r="K113" s="67">
        <f>K114+K118+K121+K127+K131+K139</f>
        <v>77488.133000000002</v>
      </c>
      <c r="L113" s="67">
        <f t="shared" si="34"/>
        <v>532953.57299999997</v>
      </c>
      <c r="M113" s="134">
        <f t="shared" si="34"/>
        <v>1423546.4269999999</v>
      </c>
      <c r="N113" s="4"/>
    </row>
    <row r="114" spans="1:14" ht="12" customHeight="1" thickBot="1" x14ac:dyDescent="0.3">
      <c r="A114" s="20">
        <v>2</v>
      </c>
      <c r="B114" s="20">
        <v>3</v>
      </c>
      <c r="C114" s="20">
        <v>1</v>
      </c>
      <c r="D114" s="20"/>
      <c r="E114" s="25"/>
      <c r="F114" s="83" t="s">
        <v>84</v>
      </c>
      <c r="G114" s="39">
        <f>G115</f>
        <v>0</v>
      </c>
      <c r="H114" s="40">
        <f>H115</f>
        <v>0</v>
      </c>
      <c r="I114" s="40">
        <f>I115</f>
        <v>0</v>
      </c>
      <c r="J114" s="40"/>
      <c r="K114" s="40"/>
      <c r="L114" s="104"/>
      <c r="M114" s="125">
        <f>M115</f>
        <v>0</v>
      </c>
      <c r="N114" s="4"/>
    </row>
    <row r="115" spans="1:14" ht="12" customHeight="1" x14ac:dyDescent="0.25">
      <c r="A115" s="20">
        <v>2</v>
      </c>
      <c r="B115" s="20">
        <v>3</v>
      </c>
      <c r="C115" s="20">
        <v>1</v>
      </c>
      <c r="D115" s="20">
        <v>1</v>
      </c>
      <c r="E115" s="25"/>
      <c r="F115" s="84" t="s">
        <v>85</v>
      </c>
      <c r="G115" s="35">
        <f>G116</f>
        <v>0</v>
      </c>
      <c r="H115" s="32"/>
      <c r="I115" s="32"/>
      <c r="J115" s="32"/>
      <c r="K115" s="32"/>
      <c r="L115" s="88">
        <f>+H115+I115+J115+K115</f>
        <v>0</v>
      </c>
      <c r="M115" s="91">
        <f>+G115-L115</f>
        <v>0</v>
      </c>
      <c r="N115" s="4"/>
    </row>
    <row r="116" spans="1:14" ht="12" customHeight="1" x14ac:dyDescent="0.25">
      <c r="A116" s="20">
        <v>2</v>
      </c>
      <c r="B116" s="20">
        <v>3</v>
      </c>
      <c r="C116" s="20">
        <v>1</v>
      </c>
      <c r="D116" s="20">
        <v>1</v>
      </c>
      <c r="E116" s="25">
        <v>1</v>
      </c>
      <c r="F116" s="84" t="s">
        <v>85</v>
      </c>
      <c r="G116" s="35"/>
      <c r="H116" s="37">
        <v>0</v>
      </c>
      <c r="I116" s="37">
        <v>0</v>
      </c>
      <c r="J116" s="37"/>
      <c r="K116" s="37"/>
      <c r="L116" s="94">
        <f>+H116+I116+J116+K116</f>
        <v>0</v>
      </c>
      <c r="M116" s="91">
        <f>+G116-L116</f>
        <v>0</v>
      </c>
      <c r="N116" s="4"/>
    </row>
    <row r="117" spans="1:14" ht="12" customHeight="1" x14ac:dyDescent="0.25">
      <c r="A117" s="20"/>
      <c r="B117" s="20"/>
      <c r="C117" s="20"/>
      <c r="D117" s="20"/>
      <c r="E117" s="25"/>
      <c r="F117" s="83"/>
      <c r="G117" s="35"/>
      <c r="H117" s="37"/>
      <c r="I117" s="37"/>
      <c r="J117" s="37"/>
      <c r="K117" s="37"/>
      <c r="L117" s="94"/>
      <c r="M117" s="91">
        <f>+G117-L117</f>
        <v>0</v>
      </c>
      <c r="N117" s="4"/>
    </row>
    <row r="118" spans="1:14" s="2" customFormat="1" ht="16.5" thickBot="1" x14ac:dyDescent="0.3">
      <c r="A118" s="20">
        <v>2</v>
      </c>
      <c r="B118" s="20">
        <v>3</v>
      </c>
      <c r="C118" s="20">
        <v>2</v>
      </c>
      <c r="D118" s="20"/>
      <c r="E118" s="25"/>
      <c r="F118" s="83" t="s">
        <v>86</v>
      </c>
      <c r="G118" s="37">
        <f t="shared" ref="G118:M118" si="35">G119</f>
        <v>450000</v>
      </c>
      <c r="H118" s="37">
        <f t="shared" si="35"/>
        <v>0</v>
      </c>
      <c r="I118" s="37">
        <f t="shared" si="35"/>
        <v>0</v>
      </c>
      <c r="J118" s="37">
        <f t="shared" si="35"/>
        <v>0</v>
      </c>
      <c r="K118" s="37">
        <f t="shared" si="35"/>
        <v>0</v>
      </c>
      <c r="L118" s="94">
        <f t="shared" si="35"/>
        <v>0</v>
      </c>
      <c r="M118" s="91">
        <f t="shared" si="35"/>
        <v>450000</v>
      </c>
      <c r="N118" s="97"/>
    </row>
    <row r="119" spans="1:14" ht="15.75" x14ac:dyDescent="0.25">
      <c r="A119" s="20">
        <v>2</v>
      </c>
      <c r="B119" s="20">
        <v>3</v>
      </c>
      <c r="C119" s="20">
        <v>2</v>
      </c>
      <c r="D119" s="20">
        <v>3</v>
      </c>
      <c r="E119" s="25"/>
      <c r="F119" s="84" t="s">
        <v>87</v>
      </c>
      <c r="G119" s="34">
        <v>450000</v>
      </c>
      <c r="H119" s="36">
        <v>0</v>
      </c>
      <c r="I119" s="36">
        <v>0</v>
      </c>
      <c r="J119" s="36"/>
      <c r="K119" s="36"/>
      <c r="L119" s="92">
        <f>+H119+I119+J119+K119</f>
        <v>0</v>
      </c>
      <c r="M119" s="98">
        <f>+G119-L119</f>
        <v>450000</v>
      </c>
      <c r="N119" s="4"/>
    </row>
    <row r="120" spans="1:14" ht="15.75" x14ac:dyDescent="0.25">
      <c r="A120" s="20"/>
      <c r="B120" s="20"/>
      <c r="C120" s="20"/>
      <c r="D120" s="20"/>
      <c r="E120" s="25"/>
      <c r="F120" s="83"/>
      <c r="G120" s="35"/>
      <c r="H120" s="32"/>
      <c r="I120" s="32"/>
      <c r="J120" s="32"/>
      <c r="K120" s="32"/>
      <c r="L120" s="88"/>
      <c r="M120" s="89"/>
      <c r="N120" s="4"/>
    </row>
    <row r="121" spans="1:14" ht="32.25" thickBot="1" x14ac:dyDescent="0.3">
      <c r="A121" s="20">
        <v>2</v>
      </c>
      <c r="B121" s="41">
        <v>3</v>
      </c>
      <c r="C121" s="41">
        <v>3</v>
      </c>
      <c r="D121" s="25"/>
      <c r="E121" s="25"/>
      <c r="F121" s="83" t="s">
        <v>88</v>
      </c>
      <c r="G121" s="26">
        <f t="shared" ref="G121:L121" si="36">G122+G123+G124+G125</f>
        <v>101500</v>
      </c>
      <c r="H121" s="33">
        <f t="shared" si="36"/>
        <v>0</v>
      </c>
      <c r="I121" s="33">
        <f t="shared" si="36"/>
        <v>0</v>
      </c>
      <c r="J121" s="33">
        <f t="shared" si="36"/>
        <v>0</v>
      </c>
      <c r="K121" s="33">
        <f t="shared" si="36"/>
        <v>0</v>
      </c>
      <c r="L121" s="105">
        <f t="shared" si="36"/>
        <v>0</v>
      </c>
      <c r="M121" s="99">
        <f>M122+M123+M124+M125</f>
        <v>101500</v>
      </c>
      <c r="N121" s="4"/>
    </row>
    <row r="122" spans="1:14" ht="15.75" x14ac:dyDescent="0.25">
      <c r="A122" s="20">
        <v>2</v>
      </c>
      <c r="B122" s="20">
        <v>3</v>
      </c>
      <c r="C122" s="20">
        <v>3</v>
      </c>
      <c r="D122" s="20">
        <v>1</v>
      </c>
      <c r="E122" s="20"/>
      <c r="F122" s="84" t="s">
        <v>89</v>
      </c>
      <c r="G122" s="34">
        <v>68000</v>
      </c>
      <c r="H122" s="36"/>
      <c r="I122" s="36"/>
      <c r="J122" s="36"/>
      <c r="K122" s="36"/>
      <c r="L122" s="92">
        <f>+H122+I122+J122</f>
        <v>0</v>
      </c>
      <c r="M122" s="98">
        <f>+G122-L122</f>
        <v>68000</v>
      </c>
      <c r="N122" s="4"/>
    </row>
    <row r="123" spans="1:14" ht="31.5" x14ac:dyDescent="0.25">
      <c r="A123" s="20">
        <v>2</v>
      </c>
      <c r="B123" s="20">
        <v>3</v>
      </c>
      <c r="C123" s="20">
        <v>3</v>
      </c>
      <c r="D123" s="20">
        <v>2</v>
      </c>
      <c r="E123" s="20"/>
      <c r="F123" s="84" t="s">
        <v>90</v>
      </c>
      <c r="G123" s="35">
        <v>23000</v>
      </c>
      <c r="H123" s="37">
        <v>0</v>
      </c>
      <c r="I123" s="37">
        <v>0</v>
      </c>
      <c r="J123" s="37"/>
      <c r="K123" s="37"/>
      <c r="L123" s="94">
        <f>+H123+I123+J123+K123</f>
        <v>0</v>
      </c>
      <c r="M123" s="91">
        <f>+G123-L123</f>
        <v>23000</v>
      </c>
      <c r="N123" s="4"/>
    </row>
    <row r="124" spans="1:14" s="6" customFormat="1" ht="31.5" x14ac:dyDescent="0.25">
      <c r="A124" s="20">
        <v>2</v>
      </c>
      <c r="B124" s="20">
        <v>3</v>
      </c>
      <c r="C124" s="20">
        <v>3</v>
      </c>
      <c r="D124" s="20">
        <v>3</v>
      </c>
      <c r="E124" s="20"/>
      <c r="F124" s="84" t="s">
        <v>91</v>
      </c>
      <c r="G124" s="35">
        <v>0</v>
      </c>
      <c r="H124" s="37">
        <v>0</v>
      </c>
      <c r="I124" s="37">
        <v>0</v>
      </c>
      <c r="J124" s="37"/>
      <c r="K124" s="37"/>
      <c r="L124" s="94">
        <f t="shared" ref="L124:L125" si="37">+H124+I124+J124+K124</f>
        <v>0</v>
      </c>
      <c r="M124" s="91">
        <f>+G124-L124</f>
        <v>0</v>
      </c>
      <c r="N124" s="106"/>
    </row>
    <row r="125" spans="1:14" s="6" customFormat="1" ht="31.5" x14ac:dyDescent="0.25">
      <c r="A125" s="20">
        <v>2</v>
      </c>
      <c r="B125" s="20">
        <v>3</v>
      </c>
      <c r="C125" s="20">
        <v>3</v>
      </c>
      <c r="D125" s="20">
        <v>4</v>
      </c>
      <c r="E125" s="20"/>
      <c r="F125" s="84" t="s">
        <v>92</v>
      </c>
      <c r="G125" s="35">
        <v>10500</v>
      </c>
      <c r="H125" s="37"/>
      <c r="I125" s="37"/>
      <c r="J125" s="37"/>
      <c r="K125" s="37"/>
      <c r="L125" s="94">
        <f t="shared" si="37"/>
        <v>0</v>
      </c>
      <c r="M125" s="91">
        <f>+G125-L125</f>
        <v>10500</v>
      </c>
      <c r="N125" s="106"/>
    </row>
    <row r="126" spans="1:14" s="7" customFormat="1" ht="15.75" x14ac:dyDescent="0.25">
      <c r="A126" s="20"/>
      <c r="B126" s="20"/>
      <c r="C126" s="20"/>
      <c r="D126" s="20"/>
      <c r="E126" s="20"/>
      <c r="F126" s="84"/>
      <c r="G126" s="35"/>
      <c r="H126" s="37"/>
      <c r="I126" s="37"/>
      <c r="J126" s="37"/>
      <c r="K126" s="37"/>
      <c r="L126" s="94"/>
      <c r="M126" s="91"/>
      <c r="N126" s="107"/>
    </row>
    <row r="127" spans="1:14" ht="48" thickBot="1" x14ac:dyDescent="0.3">
      <c r="A127" s="25">
        <v>2</v>
      </c>
      <c r="B127" s="25">
        <v>3</v>
      </c>
      <c r="C127" s="25">
        <v>7</v>
      </c>
      <c r="D127" s="25"/>
      <c r="E127" s="25"/>
      <c r="F127" s="83" t="s">
        <v>93</v>
      </c>
      <c r="G127" s="26">
        <f t="shared" ref="G127:L128" si="38">G128</f>
        <v>360000</v>
      </c>
      <c r="H127" s="42">
        <f t="shared" si="38"/>
        <v>200000</v>
      </c>
      <c r="I127" s="42">
        <f t="shared" si="38"/>
        <v>0</v>
      </c>
      <c r="J127" s="42">
        <f t="shared" si="38"/>
        <v>0</v>
      </c>
      <c r="K127" s="42">
        <f t="shared" si="38"/>
        <v>0</v>
      </c>
      <c r="L127" s="108">
        <f t="shared" si="38"/>
        <v>200000</v>
      </c>
      <c r="M127" s="118">
        <f>M128</f>
        <v>160000</v>
      </c>
      <c r="N127" s="4"/>
    </row>
    <row r="128" spans="1:14" ht="32.25" thickBot="1" x14ac:dyDescent="0.3">
      <c r="A128" s="25">
        <v>2</v>
      </c>
      <c r="B128" s="25">
        <v>3</v>
      </c>
      <c r="C128" s="25">
        <v>7</v>
      </c>
      <c r="D128" s="25">
        <v>1</v>
      </c>
      <c r="E128" s="25"/>
      <c r="F128" s="83" t="s">
        <v>94</v>
      </c>
      <c r="G128" s="26">
        <f t="shared" si="38"/>
        <v>360000</v>
      </c>
      <c r="H128" s="29">
        <f t="shared" si="38"/>
        <v>200000</v>
      </c>
      <c r="I128" s="29">
        <f t="shared" si="38"/>
        <v>0</v>
      </c>
      <c r="J128" s="29">
        <f t="shared" si="38"/>
        <v>0</v>
      </c>
      <c r="K128" s="29">
        <f t="shared" si="38"/>
        <v>0</v>
      </c>
      <c r="L128" s="108">
        <f>L129</f>
        <v>200000</v>
      </c>
      <c r="M128" s="119">
        <f t="shared" ref="M128" si="39">M129</f>
        <v>160000</v>
      </c>
      <c r="N128" s="4"/>
    </row>
    <row r="129" spans="1:14" ht="15.75" x14ac:dyDescent="0.25">
      <c r="A129" s="44">
        <v>2</v>
      </c>
      <c r="B129" s="44">
        <v>3</v>
      </c>
      <c r="C129" s="44">
        <v>7</v>
      </c>
      <c r="D129" s="44">
        <v>1</v>
      </c>
      <c r="E129" s="44">
        <v>1</v>
      </c>
      <c r="F129" s="84" t="s">
        <v>95</v>
      </c>
      <c r="G129" s="47">
        <v>360000</v>
      </c>
      <c r="H129" s="36">
        <v>200000</v>
      </c>
      <c r="I129" s="36"/>
      <c r="J129" s="36"/>
      <c r="K129" s="36"/>
      <c r="L129" s="92">
        <f>+H129+I129+J129+K129</f>
        <v>200000</v>
      </c>
      <c r="M129" s="98">
        <f>+G129-L129</f>
        <v>160000</v>
      </c>
      <c r="N129" s="4"/>
    </row>
    <row r="130" spans="1:14" ht="15.75" x14ac:dyDescent="0.25">
      <c r="A130" s="20"/>
      <c r="B130" s="20"/>
      <c r="C130" s="20"/>
      <c r="D130" s="20"/>
      <c r="E130" s="20"/>
      <c r="F130" s="84"/>
      <c r="G130" s="35"/>
      <c r="H130" s="37"/>
      <c r="I130" s="37"/>
      <c r="J130" s="37"/>
      <c r="K130" s="37"/>
      <c r="L130" s="94"/>
      <c r="M130" s="91"/>
      <c r="N130" s="4"/>
    </row>
    <row r="131" spans="1:14" ht="16.5" thickBot="1" x14ac:dyDescent="0.3">
      <c r="A131" s="20">
        <v>2</v>
      </c>
      <c r="B131" s="20">
        <v>3</v>
      </c>
      <c r="C131" s="20">
        <v>9</v>
      </c>
      <c r="D131" s="20"/>
      <c r="E131" s="25"/>
      <c r="F131" s="83" t="s">
        <v>96</v>
      </c>
      <c r="G131" s="49">
        <f t="shared" ref="G131:J131" si="40">SUM(G132:G136)</f>
        <v>1045000</v>
      </c>
      <c r="H131" s="49">
        <f t="shared" si="40"/>
        <v>113477.31999999999</v>
      </c>
      <c r="I131" s="49">
        <f t="shared" si="40"/>
        <v>37182.32</v>
      </c>
      <c r="J131" s="49">
        <f t="shared" si="40"/>
        <v>22314.080000000002</v>
      </c>
      <c r="K131" s="49">
        <f>SUM(K132:K136)</f>
        <v>77488.133000000002</v>
      </c>
      <c r="L131" s="109">
        <f t="shared" ref="L131" si="41">SUM(L132:L136)</f>
        <v>250461.853</v>
      </c>
      <c r="M131" s="135">
        <f>SUM(M132:M136)</f>
        <v>794538.147</v>
      </c>
      <c r="N131" s="4"/>
    </row>
    <row r="132" spans="1:14" ht="15.75" x14ac:dyDescent="0.25">
      <c r="A132" s="20">
        <v>2</v>
      </c>
      <c r="B132" s="20">
        <v>3</v>
      </c>
      <c r="C132" s="20">
        <v>9</v>
      </c>
      <c r="D132" s="20">
        <v>1</v>
      </c>
      <c r="E132" s="20"/>
      <c r="F132" s="84" t="s">
        <v>97</v>
      </c>
      <c r="G132" s="34">
        <v>15000</v>
      </c>
      <c r="H132" s="37"/>
      <c r="I132" s="37"/>
      <c r="J132" s="37"/>
      <c r="K132" s="37"/>
      <c r="L132" s="94">
        <f>+H132+I132+J132+K132</f>
        <v>0</v>
      </c>
      <c r="M132" s="91">
        <f t="shared" ref="M132:M137" si="42">+G132-L132</f>
        <v>15000</v>
      </c>
      <c r="N132" s="4"/>
    </row>
    <row r="133" spans="1:14" ht="47.25" x14ac:dyDescent="0.25">
      <c r="A133" s="20">
        <v>2</v>
      </c>
      <c r="B133" s="20">
        <v>3</v>
      </c>
      <c r="C133" s="20">
        <v>9</v>
      </c>
      <c r="D133" s="20">
        <v>2</v>
      </c>
      <c r="E133" s="20"/>
      <c r="F133" s="84" t="s">
        <v>98</v>
      </c>
      <c r="G133" s="35">
        <v>320000</v>
      </c>
      <c r="H133" s="37">
        <f>19926.13+80712</f>
        <v>100638.13</v>
      </c>
      <c r="I133" s="37">
        <f>3307.28+20414</f>
        <v>23721.279999999999</v>
      </c>
      <c r="J133" s="37">
        <v>2489.9699999999998</v>
      </c>
      <c r="K133" s="37">
        <v>10620</v>
      </c>
      <c r="L133" s="94">
        <f>+H133+I133+J133+K133</f>
        <v>137469.38</v>
      </c>
      <c r="M133" s="91">
        <f t="shared" si="42"/>
        <v>182530.62</v>
      </c>
      <c r="N133" s="4"/>
    </row>
    <row r="134" spans="1:14" ht="31.5" x14ac:dyDescent="0.25">
      <c r="A134" s="20">
        <v>2</v>
      </c>
      <c r="B134" s="44">
        <v>3</v>
      </c>
      <c r="C134" s="44">
        <v>9</v>
      </c>
      <c r="D134" s="20">
        <v>5</v>
      </c>
      <c r="E134" s="20"/>
      <c r="F134" s="85" t="s">
        <v>99</v>
      </c>
      <c r="G134" s="35">
        <v>25000</v>
      </c>
      <c r="H134" s="37">
        <f>249.9+10394.28</f>
        <v>10644.18</v>
      </c>
      <c r="I134" s="37">
        <f>120.3+4271.26</f>
        <v>4391.5600000000004</v>
      </c>
      <c r="J134" s="37">
        <f>1499.75+1364+517.9+258.95</f>
        <v>3640.6</v>
      </c>
      <c r="K134" s="37">
        <f>1193.8+4551.88+12142.2</f>
        <v>17887.88</v>
      </c>
      <c r="L134" s="94">
        <f>+H134+I134+J134+K134</f>
        <v>36564.22</v>
      </c>
      <c r="M134" s="91">
        <f t="shared" si="42"/>
        <v>-11564.220000000001</v>
      </c>
      <c r="N134" s="4"/>
    </row>
    <row r="135" spans="1:14" ht="31.5" x14ac:dyDescent="0.25">
      <c r="A135" s="20">
        <v>2</v>
      </c>
      <c r="B135" s="20">
        <v>3</v>
      </c>
      <c r="C135" s="20">
        <v>9</v>
      </c>
      <c r="D135" s="20">
        <v>8</v>
      </c>
      <c r="E135" s="20"/>
      <c r="F135" s="84" t="s">
        <v>100</v>
      </c>
      <c r="G135" s="35">
        <v>35000</v>
      </c>
      <c r="H135" s="37"/>
      <c r="I135" s="37">
        <v>813</v>
      </c>
      <c r="J135" s="37">
        <v>550</v>
      </c>
      <c r="K135" s="37">
        <v>616.41999999999996</v>
      </c>
      <c r="L135" s="94">
        <f>+H135+I135+J135+K135</f>
        <v>1979.42</v>
      </c>
      <c r="M135" s="91">
        <f t="shared" si="42"/>
        <v>33020.58</v>
      </c>
      <c r="N135" s="4"/>
    </row>
    <row r="136" spans="1:14" ht="31.5" x14ac:dyDescent="0.25">
      <c r="A136" s="20">
        <v>2</v>
      </c>
      <c r="B136" s="20">
        <v>3</v>
      </c>
      <c r="C136" s="20">
        <v>9</v>
      </c>
      <c r="D136" s="20">
        <v>9</v>
      </c>
      <c r="E136" s="20"/>
      <c r="F136" s="84" t="s">
        <v>101</v>
      </c>
      <c r="G136" s="35">
        <v>650000</v>
      </c>
      <c r="H136" s="37">
        <v>2195.0100000000002</v>
      </c>
      <c r="I136" s="37">
        <f>5422.7+1094.08+1739.7</f>
        <v>8256.48</v>
      </c>
      <c r="J136" s="37">
        <f>2419.94+13213.57</f>
        <v>15633.51</v>
      </c>
      <c r="K136" s="37">
        <f>37106.64+100+3000+3778.393+3138.8+1240</f>
        <v>48363.832999999999</v>
      </c>
      <c r="L136" s="94">
        <f>+H136+I136+J136+K136</f>
        <v>74448.832999999999</v>
      </c>
      <c r="M136" s="91">
        <f t="shared" si="42"/>
        <v>575551.16700000002</v>
      </c>
      <c r="N136" s="4"/>
    </row>
    <row r="137" spans="1:14" ht="15.75" x14ac:dyDescent="0.25">
      <c r="A137" s="20">
        <v>2</v>
      </c>
      <c r="B137" s="20">
        <v>3</v>
      </c>
      <c r="C137" s="20">
        <v>9</v>
      </c>
      <c r="D137" s="20">
        <v>9</v>
      </c>
      <c r="E137" s="20">
        <v>2</v>
      </c>
      <c r="F137" s="84" t="s">
        <v>102</v>
      </c>
      <c r="G137" s="35"/>
      <c r="H137" s="37">
        <v>0</v>
      </c>
      <c r="I137" s="37">
        <v>0</v>
      </c>
      <c r="J137" s="37" t="s">
        <v>135</v>
      </c>
      <c r="K137" s="37"/>
      <c r="L137" s="94">
        <f>SUM(H137:J137)+K137</f>
        <v>0</v>
      </c>
      <c r="M137" s="91">
        <f t="shared" si="42"/>
        <v>0</v>
      </c>
      <c r="N137" s="4"/>
    </row>
    <row r="138" spans="1:14" ht="15.75" x14ac:dyDescent="0.25">
      <c r="A138" s="20"/>
      <c r="B138" s="20"/>
      <c r="C138" s="20"/>
      <c r="D138" s="20"/>
      <c r="E138" s="20"/>
      <c r="F138" s="84"/>
      <c r="G138" s="35"/>
      <c r="H138" s="37"/>
      <c r="I138" s="37"/>
      <c r="J138" s="37"/>
      <c r="K138" s="37"/>
      <c r="L138" s="94">
        <f>+H138+I138+J138+K138</f>
        <v>0</v>
      </c>
      <c r="M138" s="91"/>
      <c r="N138" s="4"/>
    </row>
    <row r="139" spans="1:14" ht="32.25" thickBot="1" x14ac:dyDescent="0.3">
      <c r="A139" s="20">
        <v>2</v>
      </c>
      <c r="B139" s="20">
        <v>6</v>
      </c>
      <c r="C139" s="20"/>
      <c r="D139" s="20"/>
      <c r="E139" s="25"/>
      <c r="F139" s="83" t="s">
        <v>103</v>
      </c>
      <c r="G139" s="27">
        <f>G140+G148+G152</f>
        <v>0</v>
      </c>
      <c r="H139" s="27">
        <f>H140+H148+H152</f>
        <v>0</v>
      </c>
      <c r="I139" s="27">
        <f t="shared" ref="I139:M139" si="43">I140+I148+I152</f>
        <v>82491.72</v>
      </c>
      <c r="J139" s="27">
        <f t="shared" si="43"/>
        <v>0</v>
      </c>
      <c r="K139" s="27">
        <f t="shared" si="43"/>
        <v>0</v>
      </c>
      <c r="L139" s="27">
        <f t="shared" si="43"/>
        <v>82491.72</v>
      </c>
      <c r="M139" s="96">
        <f t="shared" si="43"/>
        <v>-82491.72</v>
      </c>
      <c r="N139" s="4"/>
    </row>
    <row r="140" spans="1:14" ht="16.5" thickBot="1" x14ac:dyDescent="0.3">
      <c r="A140" s="20">
        <v>2</v>
      </c>
      <c r="B140" s="20">
        <v>6</v>
      </c>
      <c r="C140" s="20">
        <v>1</v>
      </c>
      <c r="D140" s="20"/>
      <c r="E140" s="44"/>
      <c r="F140" s="83" t="s">
        <v>104</v>
      </c>
      <c r="G140" s="28">
        <f>G142+G143+G144+G146+G147</f>
        <v>0</v>
      </c>
      <c r="H140" s="71">
        <f>+H141+H142+H143+H144+H145+H146</f>
        <v>0</v>
      </c>
      <c r="I140" s="71">
        <f t="shared" ref="I140:M140" si="44">+I141+I142+I143+I144+I145+I146</f>
        <v>82491.72</v>
      </c>
      <c r="J140" s="71">
        <f t="shared" si="44"/>
        <v>0</v>
      </c>
      <c r="K140" s="71">
        <f t="shared" si="44"/>
        <v>0</v>
      </c>
      <c r="L140" s="71">
        <f>+L141+L142+L143+L144+L145+L146</f>
        <v>82491.72</v>
      </c>
      <c r="M140" s="136">
        <f t="shared" si="44"/>
        <v>-82491.72</v>
      </c>
      <c r="N140" s="4"/>
    </row>
    <row r="141" spans="1:14" ht="15.75" x14ac:dyDescent="0.25">
      <c r="A141" s="20">
        <v>2</v>
      </c>
      <c r="B141" s="20">
        <v>6</v>
      </c>
      <c r="C141" s="20">
        <v>8</v>
      </c>
      <c r="D141" s="20">
        <v>8</v>
      </c>
      <c r="E141" s="44"/>
      <c r="F141" s="137" t="s">
        <v>105</v>
      </c>
      <c r="G141" s="35">
        <f>G143+G144+G145+G147+G148</f>
        <v>0</v>
      </c>
      <c r="H141" s="47">
        <f>H143+H144+H145+H147+H148</f>
        <v>0</v>
      </c>
      <c r="I141" s="47">
        <v>74106.720000000001</v>
      </c>
      <c r="J141" s="47"/>
      <c r="K141" s="47"/>
      <c r="L141" s="94">
        <f>+H141+I141+J141+K141</f>
        <v>74106.720000000001</v>
      </c>
      <c r="M141" s="130">
        <f t="shared" ref="M141:M146" si="45">+G141-L141</f>
        <v>-74106.720000000001</v>
      </c>
      <c r="N141" s="4"/>
    </row>
    <row r="142" spans="1:14" ht="31.5" x14ac:dyDescent="0.25">
      <c r="A142" s="20">
        <v>2</v>
      </c>
      <c r="B142" s="20">
        <v>6</v>
      </c>
      <c r="C142" s="20">
        <v>1</v>
      </c>
      <c r="D142" s="20">
        <v>1</v>
      </c>
      <c r="E142" s="44"/>
      <c r="F142" s="84" t="s">
        <v>106</v>
      </c>
      <c r="G142" s="35"/>
      <c r="H142" s="37"/>
      <c r="I142" s="37"/>
      <c r="J142" s="37"/>
      <c r="K142" s="37"/>
      <c r="L142" s="94">
        <f>+H142+I142+J142+K142</f>
        <v>0</v>
      </c>
      <c r="M142" s="91">
        <f t="shared" si="45"/>
        <v>0</v>
      </c>
      <c r="N142" s="4"/>
    </row>
    <row r="143" spans="1:14" ht="15.75" x14ac:dyDescent="0.25">
      <c r="A143" s="20">
        <v>2</v>
      </c>
      <c r="B143" s="20">
        <v>6</v>
      </c>
      <c r="C143" s="20">
        <v>1</v>
      </c>
      <c r="D143" s="20">
        <v>4</v>
      </c>
      <c r="E143" s="44"/>
      <c r="F143" s="84" t="s">
        <v>107</v>
      </c>
      <c r="G143" s="35"/>
      <c r="H143" s="37"/>
      <c r="I143" s="37"/>
      <c r="J143" s="37"/>
      <c r="K143" s="37"/>
      <c r="L143" s="94">
        <f t="shared" ref="L143:L146" si="46">+H143+I143+J143+K143</f>
        <v>0</v>
      </c>
      <c r="M143" s="91">
        <f t="shared" si="45"/>
        <v>0</v>
      </c>
      <c r="N143" s="4"/>
    </row>
    <row r="144" spans="1:14" ht="24.75" customHeight="1" x14ac:dyDescent="0.25">
      <c r="A144" s="20">
        <v>2</v>
      </c>
      <c r="B144" s="20">
        <v>6</v>
      </c>
      <c r="C144" s="20">
        <v>1</v>
      </c>
      <c r="D144" s="20">
        <v>7</v>
      </c>
      <c r="E144" s="44"/>
      <c r="F144" s="84" t="s">
        <v>108</v>
      </c>
      <c r="G144" s="35"/>
      <c r="H144" s="37">
        <v>0</v>
      </c>
      <c r="I144" s="37">
        <v>0</v>
      </c>
      <c r="J144" s="37"/>
      <c r="K144" s="37"/>
      <c r="L144" s="94">
        <f t="shared" si="46"/>
        <v>0</v>
      </c>
      <c r="M144" s="91">
        <f t="shared" si="45"/>
        <v>0</v>
      </c>
      <c r="N144" s="4"/>
    </row>
    <row r="145" spans="1:14" ht="15.75" x14ac:dyDescent="0.25">
      <c r="A145" s="20">
        <v>2</v>
      </c>
      <c r="B145" s="20">
        <v>6</v>
      </c>
      <c r="C145" s="20">
        <v>1</v>
      </c>
      <c r="D145" s="20">
        <v>8</v>
      </c>
      <c r="E145" s="44"/>
      <c r="F145" s="84" t="s">
        <v>109</v>
      </c>
      <c r="G145" s="35"/>
      <c r="H145" s="37"/>
      <c r="I145" s="37"/>
      <c r="J145" s="37"/>
      <c r="K145" s="37"/>
      <c r="L145" s="94">
        <f t="shared" si="46"/>
        <v>0</v>
      </c>
      <c r="M145" s="91">
        <f t="shared" si="45"/>
        <v>0</v>
      </c>
      <c r="N145" s="4"/>
    </row>
    <row r="146" spans="1:14" ht="31.5" x14ac:dyDescent="0.25">
      <c r="A146" s="20">
        <v>2</v>
      </c>
      <c r="B146" s="20">
        <v>6</v>
      </c>
      <c r="C146" s="20">
        <v>1</v>
      </c>
      <c r="D146" s="20">
        <v>9</v>
      </c>
      <c r="E146" s="44"/>
      <c r="F146" s="84" t="s">
        <v>110</v>
      </c>
      <c r="G146" s="35"/>
      <c r="H146" s="37"/>
      <c r="I146" s="37">
        <v>8385</v>
      </c>
      <c r="J146" s="37"/>
      <c r="K146" s="37"/>
      <c r="L146" s="94">
        <f t="shared" si="46"/>
        <v>8385</v>
      </c>
      <c r="M146" s="91">
        <f t="shared" si="45"/>
        <v>-8385</v>
      </c>
      <c r="N146" s="4"/>
    </row>
    <row r="147" spans="1:14" ht="15.75" x14ac:dyDescent="0.25">
      <c r="A147" s="20"/>
      <c r="B147" s="20"/>
      <c r="C147" s="20"/>
      <c r="D147" s="20"/>
      <c r="E147" s="25"/>
      <c r="F147" s="83"/>
      <c r="G147" s="48"/>
      <c r="H147" s="27"/>
      <c r="I147" s="27"/>
      <c r="J147" s="27"/>
      <c r="K147" s="27"/>
      <c r="L147" s="94">
        <f>+H147+I147+J147</f>
        <v>0</v>
      </c>
      <c r="M147" s="96"/>
      <c r="N147" s="4"/>
    </row>
    <row r="148" spans="1:14" ht="32.25" thickBot="1" x14ac:dyDescent="0.3">
      <c r="A148" s="20">
        <v>2</v>
      </c>
      <c r="B148" s="20">
        <v>6</v>
      </c>
      <c r="C148" s="20">
        <v>2</v>
      </c>
      <c r="D148" s="20"/>
      <c r="E148" s="25"/>
      <c r="F148" s="83" t="s">
        <v>111</v>
      </c>
      <c r="G148" s="26">
        <f>G149+G150</f>
        <v>0</v>
      </c>
      <c r="H148" s="42"/>
      <c r="I148" s="26">
        <f t="shared" ref="I148:M148" si="47">I149+I150</f>
        <v>0</v>
      </c>
      <c r="J148" s="26">
        <f t="shared" si="47"/>
        <v>0</v>
      </c>
      <c r="K148" s="26">
        <f t="shared" si="47"/>
        <v>0</v>
      </c>
      <c r="L148" s="26">
        <f t="shared" si="47"/>
        <v>0</v>
      </c>
      <c r="M148" s="118">
        <f t="shared" si="47"/>
        <v>0</v>
      </c>
      <c r="N148" s="4"/>
    </row>
    <row r="149" spans="1:14" ht="31.5" x14ac:dyDescent="0.25">
      <c r="A149" s="20">
        <v>2</v>
      </c>
      <c r="B149" s="20">
        <v>6</v>
      </c>
      <c r="C149" s="20">
        <v>2</v>
      </c>
      <c r="D149" s="20">
        <v>1</v>
      </c>
      <c r="E149" s="44"/>
      <c r="F149" s="84" t="s">
        <v>112</v>
      </c>
      <c r="G149" s="35"/>
      <c r="H149" s="37">
        <v>0</v>
      </c>
      <c r="I149" s="37">
        <v>0</v>
      </c>
      <c r="J149" s="37"/>
      <c r="K149" s="37"/>
      <c r="L149" s="94">
        <f>+H149+I149+J149+K149</f>
        <v>0</v>
      </c>
      <c r="M149" s="98">
        <f>+G149-L149</f>
        <v>0</v>
      </c>
      <c r="N149" s="4"/>
    </row>
    <row r="150" spans="1:14" ht="31.5" customHeight="1" x14ac:dyDescent="0.25">
      <c r="A150" s="20">
        <v>2</v>
      </c>
      <c r="B150" s="20">
        <v>6</v>
      </c>
      <c r="C150" s="20">
        <v>2</v>
      </c>
      <c r="D150" s="20">
        <v>3</v>
      </c>
      <c r="E150" s="44"/>
      <c r="F150" s="84" t="s">
        <v>113</v>
      </c>
      <c r="G150" s="35"/>
      <c r="H150" s="37">
        <f>G150*12</f>
        <v>0</v>
      </c>
      <c r="I150" s="37">
        <f t="shared" ref="I150:K150" si="48">H150*12</f>
        <v>0</v>
      </c>
      <c r="J150" s="37">
        <f t="shared" si="48"/>
        <v>0</v>
      </c>
      <c r="K150" s="37">
        <f t="shared" si="48"/>
        <v>0</v>
      </c>
      <c r="L150" s="94">
        <f>+H150+I150+J150+K150</f>
        <v>0</v>
      </c>
      <c r="M150" s="91">
        <f>+G150-L150</f>
        <v>0</v>
      </c>
      <c r="N150" s="4"/>
    </row>
    <row r="151" spans="1:14" ht="15.75" x14ac:dyDescent="0.25">
      <c r="A151" s="20"/>
      <c r="B151" s="20"/>
      <c r="C151" s="20"/>
      <c r="D151" s="20"/>
      <c r="E151" s="25"/>
      <c r="F151" s="83"/>
      <c r="G151" s="48"/>
      <c r="H151" s="27"/>
      <c r="I151" s="27"/>
      <c r="J151" s="27"/>
      <c r="K151" s="27"/>
      <c r="L151" s="95"/>
      <c r="M151" s="91">
        <f>+G151-L151</f>
        <v>0</v>
      </c>
      <c r="N151" s="4"/>
    </row>
    <row r="152" spans="1:14" ht="48" thickBot="1" x14ac:dyDescent="0.3">
      <c r="A152" s="20">
        <v>2</v>
      </c>
      <c r="B152" s="20">
        <v>6</v>
      </c>
      <c r="C152" s="20">
        <v>4</v>
      </c>
      <c r="D152" s="20"/>
      <c r="E152" s="25"/>
      <c r="F152" s="83" t="s">
        <v>114</v>
      </c>
      <c r="G152" s="48">
        <f>G154+G155+G153</f>
        <v>0</v>
      </c>
      <c r="H152" s="37">
        <f>H153+H154</f>
        <v>0</v>
      </c>
      <c r="I152" s="37">
        <f t="shared" ref="I152:M152" si="49">I153+I154</f>
        <v>0</v>
      </c>
      <c r="J152" s="37">
        <f t="shared" si="49"/>
        <v>0</v>
      </c>
      <c r="K152" s="37">
        <f t="shared" si="49"/>
        <v>0</v>
      </c>
      <c r="L152" s="37">
        <f t="shared" si="49"/>
        <v>0</v>
      </c>
      <c r="M152" s="91">
        <f t="shared" si="49"/>
        <v>0</v>
      </c>
      <c r="N152" s="4"/>
    </row>
    <row r="153" spans="1:14" ht="47.25" x14ac:dyDescent="0.25">
      <c r="A153" s="20">
        <v>2</v>
      </c>
      <c r="B153" s="20">
        <v>6</v>
      </c>
      <c r="C153" s="20">
        <v>4</v>
      </c>
      <c r="D153" s="20"/>
      <c r="E153" s="25"/>
      <c r="F153" s="84" t="s">
        <v>114</v>
      </c>
      <c r="G153" s="30"/>
      <c r="H153" s="36">
        <v>0</v>
      </c>
      <c r="I153" s="36">
        <v>0</v>
      </c>
      <c r="J153" s="36"/>
      <c r="K153" s="36"/>
      <c r="L153" s="92">
        <f>+H153+I153+J153+K153</f>
        <v>0</v>
      </c>
      <c r="M153" s="98">
        <f>+G153-L153</f>
        <v>0</v>
      </c>
      <c r="N153" s="4"/>
    </row>
    <row r="154" spans="1:14" ht="15.75" x14ac:dyDescent="0.25">
      <c r="A154" s="20">
        <v>2</v>
      </c>
      <c r="B154" s="20">
        <v>6</v>
      </c>
      <c r="C154" s="20">
        <v>4</v>
      </c>
      <c r="D154" s="20">
        <v>1</v>
      </c>
      <c r="E154" s="20"/>
      <c r="F154" s="84" t="s">
        <v>115</v>
      </c>
      <c r="G154" s="35"/>
      <c r="H154" s="37">
        <v>0</v>
      </c>
      <c r="I154" s="37">
        <v>0</v>
      </c>
      <c r="J154" s="37"/>
      <c r="K154" s="37"/>
      <c r="L154" s="94">
        <f>+H154+I154+J154+K154</f>
        <v>0</v>
      </c>
      <c r="M154" s="91">
        <f>+G154-L154</f>
        <v>0</v>
      </c>
      <c r="N154" s="4"/>
    </row>
    <row r="155" spans="1:14" ht="15.75" x14ac:dyDescent="0.25">
      <c r="A155" s="20">
        <v>2</v>
      </c>
      <c r="B155" s="20">
        <v>6</v>
      </c>
      <c r="C155" s="20">
        <v>4</v>
      </c>
      <c r="D155" s="20">
        <v>7</v>
      </c>
      <c r="E155" s="20"/>
      <c r="F155" s="84" t="s">
        <v>116</v>
      </c>
      <c r="G155" s="35">
        <v>0</v>
      </c>
      <c r="H155" s="37">
        <v>0</v>
      </c>
      <c r="I155" s="37">
        <v>0</v>
      </c>
      <c r="J155" s="37"/>
      <c r="K155" s="37"/>
      <c r="L155" s="94">
        <f>+H155+I155+J155+K155</f>
        <v>0</v>
      </c>
      <c r="M155" s="91">
        <f>+G155-L155</f>
        <v>0</v>
      </c>
      <c r="N155" s="4"/>
    </row>
    <row r="156" spans="1:14" ht="16.5" thickBot="1" x14ac:dyDescent="0.3">
      <c r="A156" s="20"/>
      <c r="B156" s="20"/>
      <c r="C156" s="20"/>
      <c r="D156" s="19"/>
      <c r="E156" s="20"/>
      <c r="F156" s="84"/>
      <c r="G156" s="38"/>
      <c r="H156" s="42"/>
      <c r="I156" s="42"/>
      <c r="J156" s="42"/>
      <c r="K156" s="42"/>
      <c r="L156" s="102"/>
      <c r="M156" s="124"/>
      <c r="N156" s="4"/>
    </row>
    <row r="157" spans="1:14" ht="16.5" thickBot="1" x14ac:dyDescent="0.3">
      <c r="A157" s="51"/>
      <c r="B157" s="51"/>
      <c r="C157" s="52"/>
      <c r="D157" s="52"/>
      <c r="E157" s="52"/>
      <c r="F157" s="138" t="s">
        <v>117</v>
      </c>
      <c r="G157" s="26">
        <f>G113+G51+G11</f>
        <v>90000000</v>
      </c>
      <c r="H157" s="26">
        <f>H113+H51+H11</f>
        <v>4741519.1899999995</v>
      </c>
      <c r="I157" s="26">
        <f>I113+I51+I11</f>
        <v>5862321.1899999995</v>
      </c>
      <c r="J157" s="26">
        <f>J113+J51+J11</f>
        <v>4642974.0999999996</v>
      </c>
      <c r="K157" s="26">
        <f>K113+K51+K11</f>
        <v>6683140.1030000001</v>
      </c>
      <c r="L157" s="26">
        <f t="shared" ref="L157:M157" si="50">L113+L51+L11</f>
        <v>21929954.583000004</v>
      </c>
      <c r="M157" s="118">
        <f t="shared" si="50"/>
        <v>68070045.416999996</v>
      </c>
      <c r="N157" s="4"/>
    </row>
    <row r="158" spans="1:14" ht="15.75" x14ac:dyDescent="0.25">
      <c r="A158" s="73"/>
      <c r="B158" s="73"/>
      <c r="C158" s="74"/>
      <c r="D158" s="74"/>
      <c r="E158" s="74"/>
      <c r="F158" s="75"/>
      <c r="G158" s="76"/>
      <c r="H158" s="76"/>
      <c r="N158" s="4"/>
    </row>
    <row r="159" spans="1:14" ht="15.75" x14ac:dyDescent="0.25">
      <c r="A159" s="73"/>
      <c r="B159" s="73"/>
      <c r="C159" s="74"/>
      <c r="D159" s="74"/>
      <c r="E159" s="74"/>
      <c r="F159" s="75"/>
      <c r="G159" s="76"/>
      <c r="H159" s="76"/>
      <c r="N159" s="4"/>
    </row>
    <row r="160" spans="1:14" ht="18" x14ac:dyDescent="0.25">
      <c r="A160" s="53"/>
      <c r="B160" s="53"/>
      <c r="C160" s="10"/>
      <c r="D160" s="10"/>
      <c r="E160" s="54"/>
      <c r="F160" s="55"/>
      <c r="G160" s="56"/>
      <c r="H160" s="57"/>
      <c r="M160" s="110"/>
      <c r="N160" s="4"/>
    </row>
    <row r="161" spans="1:14" ht="18.75" thickBot="1" x14ac:dyDescent="0.3">
      <c r="A161" s="8"/>
      <c r="B161" s="8"/>
      <c r="C161" s="8"/>
      <c r="D161" s="8"/>
      <c r="E161" s="8"/>
      <c r="F161" s="55"/>
      <c r="G161" s="58"/>
      <c r="H161" s="58"/>
      <c r="I161" s="110"/>
      <c r="J161" s="110"/>
      <c r="K161" s="110"/>
      <c r="L161" s="110"/>
      <c r="N161" s="4"/>
    </row>
    <row r="162" spans="1:14" ht="18" x14ac:dyDescent="0.25">
      <c r="A162" s="8"/>
      <c r="B162" s="8"/>
      <c r="C162" s="8"/>
      <c r="D162" s="8"/>
      <c r="E162" s="8"/>
      <c r="F162" s="59" t="s">
        <v>118</v>
      </c>
      <c r="G162" s="58"/>
      <c r="H162" s="58"/>
      <c r="I162" s="110"/>
      <c r="J162" s="110"/>
      <c r="K162" s="110"/>
      <c r="L162" s="111"/>
      <c r="M162" s="110"/>
      <c r="N162" s="4"/>
    </row>
    <row r="163" spans="1:14" ht="18" x14ac:dyDescent="0.25">
      <c r="A163" s="8"/>
      <c r="B163" s="8"/>
      <c r="C163" s="8"/>
      <c r="D163" s="8"/>
      <c r="E163" s="8"/>
      <c r="F163" s="55" t="s">
        <v>119</v>
      </c>
      <c r="G163" s="60"/>
      <c r="H163" s="58"/>
      <c r="K163" s="110"/>
      <c r="N163" s="4"/>
    </row>
    <row r="164" spans="1:14" ht="18" x14ac:dyDescent="0.25">
      <c r="A164" s="8"/>
      <c r="B164" s="8"/>
      <c r="C164" s="8"/>
      <c r="D164" s="8"/>
      <c r="E164" s="8"/>
      <c r="F164" s="55"/>
      <c r="G164" s="60"/>
      <c r="H164" s="58"/>
      <c r="L164" s="111"/>
      <c r="M164" s="110"/>
      <c r="N164" s="4"/>
    </row>
    <row r="165" spans="1:14" ht="18" x14ac:dyDescent="0.25">
      <c r="A165" s="8"/>
      <c r="B165" s="8"/>
      <c r="C165" s="8"/>
      <c r="D165" s="8"/>
      <c r="E165" s="8"/>
      <c r="F165" s="55"/>
      <c r="G165" s="60"/>
      <c r="H165" s="58"/>
      <c r="L165" s="111"/>
      <c r="M165" s="110"/>
      <c r="N165" s="4"/>
    </row>
    <row r="166" spans="1:14" ht="18" x14ac:dyDescent="0.25">
      <c r="A166" s="8"/>
      <c r="B166" s="8"/>
      <c r="C166" s="8"/>
      <c r="D166" s="8"/>
      <c r="E166" s="8"/>
      <c r="F166" s="55"/>
      <c r="G166" s="60"/>
      <c r="H166" s="4"/>
      <c r="I166" s="110"/>
      <c r="J166" s="110"/>
      <c r="K166" s="110"/>
      <c r="L166" s="110"/>
      <c r="N166" s="4"/>
    </row>
    <row r="167" spans="1:14" ht="18" x14ac:dyDescent="0.25">
      <c r="A167" s="8"/>
      <c r="B167" s="8"/>
      <c r="C167" s="8"/>
      <c r="D167" s="8"/>
      <c r="E167" s="8"/>
      <c r="F167" s="55"/>
      <c r="G167" s="60"/>
      <c r="H167" s="4"/>
      <c r="I167" s="110"/>
      <c r="J167" s="110"/>
      <c r="K167" s="110"/>
      <c r="N167" s="4"/>
    </row>
    <row r="168" spans="1:14" ht="18.75" thickBot="1" x14ac:dyDescent="0.3">
      <c r="A168" s="8"/>
      <c r="B168" s="8"/>
      <c r="C168" s="8"/>
      <c r="D168" s="8"/>
      <c r="E168" s="8"/>
      <c r="F168" s="63"/>
      <c r="G168" s="60"/>
      <c r="H168" s="4"/>
      <c r="N168" s="4"/>
    </row>
    <row r="169" spans="1:14" ht="18" x14ac:dyDescent="0.25">
      <c r="A169" s="8"/>
      <c r="B169" s="8"/>
      <c r="C169" s="8"/>
      <c r="D169" s="8"/>
      <c r="E169" s="8"/>
      <c r="F169" s="55" t="s">
        <v>128</v>
      </c>
      <c r="G169" s="61"/>
      <c r="H169" s="4"/>
      <c r="N169" s="4"/>
    </row>
    <row r="170" spans="1:14" ht="18" x14ac:dyDescent="0.25">
      <c r="A170" s="8"/>
      <c r="B170" s="8"/>
      <c r="C170" s="8"/>
      <c r="D170" s="8"/>
      <c r="E170" s="8"/>
      <c r="F170" s="55" t="s">
        <v>120</v>
      </c>
      <c r="G170" s="61"/>
      <c r="H170" s="4"/>
      <c r="N170" s="4"/>
    </row>
    <row r="171" spans="1:14" ht="18" x14ac:dyDescent="0.25">
      <c r="A171" s="8"/>
      <c r="B171" s="8"/>
      <c r="C171" s="8"/>
      <c r="D171" s="8"/>
      <c r="E171" s="8"/>
      <c r="F171" s="55"/>
      <c r="G171" s="62"/>
      <c r="H171" s="4"/>
      <c r="N171" s="4"/>
    </row>
    <row r="172" spans="1:14" ht="18" x14ac:dyDescent="0.25">
      <c r="A172" s="8"/>
      <c r="B172" s="8"/>
      <c r="C172" s="8"/>
      <c r="D172" s="8"/>
      <c r="E172" s="8"/>
      <c r="F172" s="55"/>
      <c r="G172" s="62"/>
      <c r="H172" s="4"/>
      <c r="N172" s="4"/>
    </row>
    <row r="173" spans="1:14" ht="15.75" x14ac:dyDescent="0.25">
      <c r="A173" s="8"/>
      <c r="B173" s="8"/>
      <c r="C173" s="8"/>
      <c r="D173" s="8"/>
      <c r="E173" s="8"/>
      <c r="F173" s="53"/>
      <c r="G173" s="62"/>
      <c r="H173" s="4"/>
      <c r="N173" s="4"/>
    </row>
    <row r="174" spans="1:14" ht="18.75" thickBot="1" x14ac:dyDescent="0.3">
      <c r="A174" s="8"/>
      <c r="B174" s="8"/>
      <c r="C174" s="8"/>
      <c r="D174" s="8"/>
      <c r="E174" s="8"/>
      <c r="F174" s="63"/>
      <c r="G174" s="55"/>
      <c r="H174" s="64"/>
      <c r="N174" s="4"/>
    </row>
    <row r="175" spans="1:14" ht="18" x14ac:dyDescent="0.25">
      <c r="A175" s="8"/>
      <c r="B175" s="8"/>
      <c r="C175" s="8"/>
      <c r="D175" s="65"/>
      <c r="E175" s="8"/>
      <c r="F175" s="55" t="s">
        <v>121</v>
      </c>
      <c r="G175" s="65"/>
      <c r="H175" s="64"/>
      <c r="N175" s="4"/>
    </row>
    <row r="176" spans="1:14" ht="18" x14ac:dyDescent="0.25">
      <c r="A176" s="8"/>
      <c r="B176" s="8"/>
      <c r="C176" s="8"/>
      <c r="D176" s="8"/>
      <c r="E176" s="8"/>
      <c r="F176" s="55" t="s">
        <v>122</v>
      </c>
      <c r="G176" s="8"/>
      <c r="H176" s="66"/>
      <c r="N176" s="4"/>
    </row>
    <row r="177" spans="1:14" ht="18" x14ac:dyDescent="0.25">
      <c r="A177" s="8"/>
      <c r="B177" s="8"/>
      <c r="C177" s="8"/>
      <c r="D177" s="8"/>
      <c r="E177" s="8"/>
      <c r="F177" s="55"/>
      <c r="G177" s="8"/>
      <c r="H177" s="66"/>
      <c r="N177" s="4"/>
    </row>
    <row r="178" spans="1:14" x14ac:dyDescent="0.25">
      <c r="A178" s="8"/>
      <c r="B178" s="8"/>
      <c r="C178" s="8"/>
      <c r="D178" s="8"/>
      <c r="E178" s="8"/>
      <c r="F178" s="8"/>
      <c r="G178" s="8"/>
      <c r="H178" s="66"/>
      <c r="N178" s="4"/>
    </row>
    <row r="179" spans="1:14" x14ac:dyDescent="0.25">
      <c r="A179" s="8"/>
      <c r="B179" s="8"/>
      <c r="C179" s="8"/>
      <c r="D179" s="8"/>
      <c r="E179" s="8"/>
      <c r="F179" s="8"/>
      <c r="G179" s="8"/>
      <c r="H179" s="66"/>
      <c r="N179" s="4"/>
    </row>
    <row r="180" spans="1:14" x14ac:dyDescent="0.25">
      <c r="A180" s="8"/>
      <c r="B180" s="8"/>
      <c r="C180" s="8"/>
      <c r="D180" s="8"/>
      <c r="E180" s="8"/>
      <c r="F180" s="8"/>
      <c r="G180" s="8"/>
      <c r="H180" s="66"/>
      <c r="N180" s="4"/>
    </row>
    <row r="181" spans="1:14" x14ac:dyDescent="0.25">
      <c r="A181" s="8"/>
      <c r="B181" s="8"/>
      <c r="C181" s="8"/>
      <c r="D181" s="8"/>
      <c r="E181" s="8"/>
      <c r="G181" s="8"/>
      <c r="H181" s="66"/>
      <c r="N181" s="4"/>
    </row>
    <row r="182" spans="1:14" x14ac:dyDescent="0.25">
      <c r="A182" s="8"/>
      <c r="B182" s="8"/>
      <c r="C182" s="8"/>
      <c r="D182" s="8"/>
      <c r="E182" s="8"/>
      <c r="G182" s="8"/>
      <c r="H182" s="9"/>
      <c r="N182" s="4"/>
    </row>
    <row r="183" spans="1:14" ht="18" x14ac:dyDescent="0.25">
      <c r="A183" s="8"/>
      <c r="B183" s="8"/>
      <c r="C183" s="8"/>
      <c r="D183" s="8"/>
      <c r="E183" s="8"/>
      <c r="F183" s="55"/>
      <c r="G183" s="8"/>
      <c r="H183" s="9"/>
      <c r="N183" s="4"/>
    </row>
    <row r="184" spans="1:14" x14ac:dyDescent="0.25">
      <c r="A184" s="8"/>
      <c r="B184" s="8"/>
      <c r="C184" s="8"/>
      <c r="D184" s="8"/>
      <c r="E184" s="8"/>
      <c r="F184" s="8"/>
      <c r="G184" s="8"/>
      <c r="H184" s="9"/>
      <c r="N184" s="4"/>
    </row>
    <row r="185" spans="1:14" x14ac:dyDescent="0.25">
      <c r="A185" s="8"/>
      <c r="B185" s="8"/>
      <c r="C185" s="8"/>
      <c r="D185" s="8"/>
      <c r="E185" s="8"/>
      <c r="F185" s="8"/>
      <c r="G185" s="8"/>
      <c r="H185" s="9"/>
      <c r="N185" s="4"/>
    </row>
    <row r="186" spans="1:14" x14ac:dyDescent="0.25">
      <c r="A186" s="8"/>
      <c r="B186" s="8"/>
      <c r="C186" s="8"/>
      <c r="D186" s="8"/>
      <c r="E186" s="8"/>
      <c r="F186" s="8"/>
      <c r="G186" s="8"/>
      <c r="H186" s="9"/>
      <c r="N186" s="4"/>
    </row>
    <row r="187" spans="1:14" x14ac:dyDescent="0.25">
      <c r="N187" s="4"/>
    </row>
    <row r="188" spans="1:14" x14ac:dyDescent="0.25">
      <c r="N188" s="4"/>
    </row>
    <row r="189" spans="1:14" x14ac:dyDescent="0.25">
      <c r="N189" s="4"/>
    </row>
    <row r="190" spans="1:14" x14ac:dyDescent="0.25">
      <c r="N190" s="4"/>
    </row>
    <row r="191" spans="1:14" x14ac:dyDescent="0.25">
      <c r="N191" s="4"/>
    </row>
    <row r="192" spans="1:14" x14ac:dyDescent="0.25">
      <c r="N192" s="4"/>
    </row>
    <row r="193" spans="14:14" x14ac:dyDescent="0.25">
      <c r="N193" s="4"/>
    </row>
    <row r="194" spans="14:14" x14ac:dyDescent="0.25">
      <c r="N194" s="4"/>
    </row>
    <row r="195" spans="14:14" x14ac:dyDescent="0.25">
      <c r="N195" s="4"/>
    </row>
    <row r="196" spans="14:14" x14ac:dyDescent="0.25">
      <c r="N196" s="4"/>
    </row>
    <row r="197" spans="14:14" x14ac:dyDescent="0.25">
      <c r="N197" s="4"/>
    </row>
    <row r="198" spans="14:14" x14ac:dyDescent="0.25">
      <c r="N198" s="4"/>
    </row>
    <row r="199" spans="14:14" x14ac:dyDescent="0.25">
      <c r="N199" s="4"/>
    </row>
    <row r="200" spans="14:14" x14ac:dyDescent="0.25">
      <c r="N200" s="4"/>
    </row>
    <row r="201" spans="14:14" x14ac:dyDescent="0.25">
      <c r="N201" s="4"/>
    </row>
    <row r="202" spans="14:14" x14ac:dyDescent="0.25">
      <c r="N202" s="4"/>
    </row>
    <row r="203" spans="14:14" x14ac:dyDescent="0.25">
      <c r="N203" s="4"/>
    </row>
    <row r="204" spans="14:14" x14ac:dyDescent="0.25">
      <c r="N204" s="4"/>
    </row>
    <row r="205" spans="14:14" x14ac:dyDescent="0.25">
      <c r="N205" s="4"/>
    </row>
    <row r="206" spans="14:14" x14ac:dyDescent="0.25">
      <c r="N206" s="4"/>
    </row>
    <row r="207" spans="14:14" x14ac:dyDescent="0.25">
      <c r="N207" s="4"/>
    </row>
    <row r="208" spans="14:14" x14ac:dyDescent="0.25">
      <c r="N208" s="4"/>
    </row>
    <row r="209" spans="14:14" x14ac:dyDescent="0.25">
      <c r="N209" s="4"/>
    </row>
    <row r="210" spans="14:14" x14ac:dyDescent="0.25">
      <c r="N210" s="4"/>
    </row>
    <row r="211" spans="14:14" x14ac:dyDescent="0.25">
      <c r="N211" s="4"/>
    </row>
    <row r="212" spans="14:14" x14ac:dyDescent="0.25">
      <c r="N212" s="4"/>
    </row>
    <row r="213" spans="14:14" x14ac:dyDescent="0.25">
      <c r="N213" s="4"/>
    </row>
    <row r="214" spans="14:14" x14ac:dyDescent="0.25">
      <c r="N214" s="4"/>
    </row>
    <row r="215" spans="14:14" x14ac:dyDescent="0.25">
      <c r="N215" s="4"/>
    </row>
    <row r="216" spans="14:14" x14ac:dyDescent="0.25">
      <c r="N216" s="4"/>
    </row>
    <row r="217" spans="14:14" x14ac:dyDescent="0.25">
      <c r="N217" s="4"/>
    </row>
    <row r="218" spans="14:14" x14ac:dyDescent="0.25">
      <c r="N218" s="4"/>
    </row>
    <row r="219" spans="14:14" x14ac:dyDescent="0.25">
      <c r="N219" s="4"/>
    </row>
    <row r="220" spans="14:14" x14ac:dyDescent="0.25">
      <c r="N220" s="4"/>
    </row>
    <row r="221" spans="14:14" x14ac:dyDescent="0.25">
      <c r="N221" s="4"/>
    </row>
    <row r="222" spans="14:14" x14ac:dyDescent="0.25">
      <c r="N222" s="4"/>
    </row>
    <row r="223" spans="14:14" x14ac:dyDescent="0.25">
      <c r="N223" s="4"/>
    </row>
    <row r="224" spans="14:14" x14ac:dyDescent="0.25">
      <c r="N224" s="4"/>
    </row>
    <row r="225" spans="14:14" x14ac:dyDescent="0.25">
      <c r="N225" s="4"/>
    </row>
    <row r="226" spans="14:14" x14ac:dyDescent="0.25">
      <c r="N226" s="4"/>
    </row>
    <row r="227" spans="14:14" x14ac:dyDescent="0.25">
      <c r="N227" s="4"/>
    </row>
    <row r="228" spans="14:14" x14ac:dyDescent="0.25">
      <c r="N228" s="4"/>
    </row>
    <row r="229" spans="14:14" x14ac:dyDescent="0.25">
      <c r="N229" s="4"/>
    </row>
    <row r="230" spans="14:14" x14ac:dyDescent="0.25">
      <c r="N230" s="4"/>
    </row>
    <row r="231" spans="14:14" x14ac:dyDescent="0.25">
      <c r="N231" s="4"/>
    </row>
    <row r="232" spans="14:14" x14ac:dyDescent="0.25">
      <c r="N232" s="4"/>
    </row>
    <row r="233" spans="14:14" x14ac:dyDescent="0.25">
      <c r="N233" s="4"/>
    </row>
    <row r="234" spans="14:14" x14ac:dyDescent="0.25">
      <c r="N234" s="4"/>
    </row>
    <row r="235" spans="14:14" x14ac:dyDescent="0.25">
      <c r="N235" s="4"/>
    </row>
    <row r="236" spans="14:14" x14ac:dyDescent="0.25">
      <c r="N236" s="4"/>
    </row>
    <row r="237" spans="14:14" x14ac:dyDescent="0.25">
      <c r="N237" s="4"/>
    </row>
    <row r="238" spans="14:14" x14ac:dyDescent="0.25">
      <c r="N238" s="4"/>
    </row>
    <row r="239" spans="14:14" x14ac:dyDescent="0.25">
      <c r="N239" s="4"/>
    </row>
    <row r="240" spans="14:14" x14ac:dyDescent="0.25">
      <c r="N240" s="4"/>
    </row>
    <row r="241" spans="14:14" x14ac:dyDescent="0.25">
      <c r="N241" s="4"/>
    </row>
    <row r="242" spans="14:14" x14ac:dyDescent="0.25">
      <c r="N242" s="4"/>
    </row>
    <row r="243" spans="14:14" x14ac:dyDescent="0.25">
      <c r="N243" s="4"/>
    </row>
    <row r="244" spans="14:14" x14ac:dyDescent="0.25">
      <c r="N244" s="4"/>
    </row>
  </sheetData>
  <mergeCells count="4">
    <mergeCell ref="A5:H5"/>
    <mergeCell ref="A3:H3"/>
    <mergeCell ref="A4:H4"/>
    <mergeCell ref="A7:E7"/>
  </mergeCells>
  <pageMargins left="0.9055118110236221" right="0.9055118110236221" top="0.35433070866141736" bottom="0.19685039370078741" header="0.31496062992125984" footer="0.31496062992125984"/>
  <pageSetup paperSize="5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2026</vt:lpstr>
      <vt:lpstr>'ABRIL 2026'!Área_de_impresión</vt:lpstr>
      <vt:lpstr>'ABRIL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2026-05-15T13:37:05Z</cp:lastPrinted>
  <dcterms:created xsi:type="dcterms:W3CDTF">2015-06-05T18:19:34Z</dcterms:created>
  <dcterms:modified xsi:type="dcterms:W3CDTF">2026-05-15T13:37:27Z</dcterms:modified>
</cp:coreProperties>
</file>